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15" windowHeight="8445" tabRatio="781" activeTab="0"/>
  </bookViews>
  <sheets>
    <sheet name="Note metodologiche" sheetId="1" r:id="rId1"/>
    <sheet name="TD01U" sheetId="2" r:id="rId2"/>
    <sheet name="TD09A" sheetId="3" r:id="rId3"/>
    <sheet name="TD12U" sheetId="4" r:id="rId4"/>
    <sheet name="TG31U" sheetId="5" r:id="rId5"/>
    <sheet name="TG33U" sheetId="6" r:id="rId6"/>
    <sheet name="TG34U" sheetId="7" r:id="rId7"/>
    <sheet name="TG36U" sheetId="8" r:id="rId8"/>
    <sheet name="TG37U" sheetId="9" r:id="rId9"/>
    <sheet name="TG67U" sheetId="10" r:id="rId10"/>
    <sheet name="TG72A" sheetId="11" r:id="rId11"/>
    <sheet name="TM02U" sheetId="12" r:id="rId12"/>
    <sheet name="TM03A" sheetId="13" r:id="rId13"/>
    <sheet name="TM05U" sheetId="14" r:id="rId14"/>
  </sheets>
  <definedNames>
    <definedName name="_xlnm.Print_Area" localSheetId="1">'TD01U'!$A$1:$B$67</definedName>
    <definedName name="_xlnm.Print_Area" localSheetId="2">'TD09A'!$A$1:$B$68</definedName>
    <definedName name="_xlnm.Print_Area" localSheetId="3">'TD12U'!$A$1:$B$68</definedName>
    <definedName name="_xlnm.Print_Area" localSheetId="4">'TG31U'!$A$1:$B$68</definedName>
    <definedName name="_xlnm.Print_Area" localSheetId="5">'TG33U'!$A$1:$B$68</definedName>
    <definedName name="_xlnm.Print_Area" localSheetId="6">'TG34U'!$A$1:$B$68</definedName>
    <definedName name="_xlnm.Print_Area" localSheetId="7">'TG36U'!$A$1:$B$68</definedName>
    <definedName name="_xlnm.Print_Area" localSheetId="8">'TG37U'!$A$1:$B$68</definedName>
    <definedName name="_xlnm.Print_Area" localSheetId="9">'TG67U'!$A$1:$B$68</definedName>
    <definedName name="_xlnm.Print_Area" localSheetId="10">'TG72A'!$A$1:$B$68</definedName>
    <definedName name="_xlnm.Print_Area" localSheetId="11">'TM02U'!$A$1:$B$68</definedName>
    <definedName name="_xlnm.Print_Area" localSheetId="12">'TM03A'!$A$1:$B$68</definedName>
    <definedName name="_xlnm.Print_Area" localSheetId="13">'TM05U'!$A$1:$B$68</definedName>
  </definedNames>
  <calcPr fullCalcOnLoad="1"/>
</workbook>
</file>

<file path=xl/sharedStrings.xml><?xml version="1.0" encoding="utf-8"?>
<sst xmlns="http://schemas.openxmlformats.org/spreadsheetml/2006/main" count="704" uniqueCount="189">
  <si>
    <t>Congrui e normali</t>
  </si>
  <si>
    <t>1° quartile</t>
  </si>
  <si>
    <t>Gestione del magazzino</t>
  </si>
  <si>
    <t>Studio di Settore TG67U - Lavanderie industriali a secco e tintorie</t>
  </si>
  <si>
    <t>Applicazione dell'analisi della congruità e della normalità economica</t>
  </si>
  <si>
    <t>Confronto tra i soggetti congrui e normali e quelli non congrui e/o non normali</t>
  </si>
  <si>
    <t>Nei soggetti congrui e normali la durata delle scorte varia da 0 a 83 giorni.</t>
  </si>
  <si>
    <t xml:space="preserve">Non congrui e/o non normali </t>
  </si>
  <si>
    <t xml:space="preserve">Non normali </t>
  </si>
  <si>
    <t>Marginali</t>
  </si>
  <si>
    <t>range</t>
  </si>
  <si>
    <t>l'indicatore di durata delle scorte varia da 338 a 1.150 giorni.</t>
  </si>
  <si>
    <t>Reddito d'impresa</t>
  </si>
  <si>
    <t xml:space="preserve">Le imprese "non congrue e non normali" dichiarano un reddito d'impresa </t>
  </si>
  <si>
    <t>analogo a quello dei soggetti marginali.</t>
  </si>
  <si>
    <t>Classi di ammortamento</t>
  </si>
  <si>
    <t>Numero</t>
  </si>
  <si>
    <t>fino a 5</t>
  </si>
  <si>
    <t>da 5 a 10</t>
  </si>
  <si>
    <t>da 10 a 20</t>
  </si>
  <si>
    <t>da 20 a 50</t>
  </si>
  <si>
    <t>oltre 50</t>
  </si>
  <si>
    <t>ma deducono i relativi ammortamenti.</t>
  </si>
  <si>
    <r>
      <t xml:space="preserve">Nei </t>
    </r>
    <r>
      <rPr>
        <b/>
        <sz val="8"/>
        <rFont val="Arial"/>
        <family val="2"/>
      </rPr>
      <t>983</t>
    </r>
    <r>
      <rPr>
        <sz val="8"/>
        <rFont val="Arial"/>
        <family val="0"/>
      </rPr>
      <t xml:space="preserve"> soggetti non normali rispetto alla gestione del magazzino</t>
    </r>
  </si>
  <si>
    <r>
      <t>555</t>
    </r>
    <r>
      <rPr>
        <sz val="8"/>
        <rFont val="Arial"/>
        <family val="0"/>
      </rPr>
      <t xml:space="preserve"> imprese non dichiarano il valore dei beni strumentali</t>
    </r>
  </si>
  <si>
    <t>Valore aggiunto per addetto</t>
  </si>
  <si>
    <t>l'indicatore varia da 2.100 a 8.500 euro.</t>
  </si>
  <si>
    <t>Nei "congrui e normali" il valore aggiunto per addetto supera i 14.000 euro.</t>
  </si>
  <si>
    <r>
      <t xml:space="preserve">Nei </t>
    </r>
    <r>
      <rPr>
        <b/>
        <sz val="8"/>
        <rFont val="Arial"/>
        <family val="2"/>
      </rPr>
      <t>6.572</t>
    </r>
    <r>
      <rPr>
        <sz val="8"/>
        <rFont val="Arial"/>
        <family val="0"/>
      </rPr>
      <t xml:space="preserve"> soggetti non normali rispetto al valore aggiunto per addetto</t>
    </r>
  </si>
  <si>
    <t>Platea: 15.979 imprese</t>
  </si>
  <si>
    <t>Redditività Beni strumentali</t>
  </si>
  <si>
    <t>Nei "congrui e normali" la redditività supera il valore 0,4.</t>
  </si>
  <si>
    <r>
      <t xml:space="preserve">Nei </t>
    </r>
    <r>
      <rPr>
        <b/>
        <sz val="8"/>
        <rFont val="Arial"/>
        <family val="2"/>
      </rPr>
      <t>680</t>
    </r>
    <r>
      <rPr>
        <sz val="8"/>
        <rFont val="Arial"/>
        <family val="0"/>
      </rPr>
      <t xml:space="preserve"> soggetti non normali rispetto alla redditivtà dei beni strumentali</t>
    </r>
  </si>
  <si>
    <t>Reddito per addetto indip.</t>
  </si>
  <si>
    <t xml:space="preserve">Gli addetti indipendenti delle imprese "non congrue e/o non normali"  </t>
  </si>
  <si>
    <t>dichiarano redditi in misura analoga ai soggetti marginali.</t>
  </si>
  <si>
    <t>Studio di Settore TD01U - Fabbricazione e commercio di prodotti di pasticceria</t>
  </si>
  <si>
    <t>Studio di Settore TD12U - Fabbricazione e commercio di prodotti di panetteria</t>
  </si>
  <si>
    <t>Studio di Settore TD09A - Fabbricazione di mobili, poltrone e divani, porte e finestre in legno</t>
  </si>
  <si>
    <t>l'indicatore di durata delle scorte varia da 362 a 871 giorni.</t>
  </si>
  <si>
    <r>
      <t xml:space="preserve">Nei </t>
    </r>
    <r>
      <rPr>
        <b/>
        <sz val="8"/>
        <rFont val="Arial"/>
        <family val="2"/>
      </rPr>
      <t>953</t>
    </r>
    <r>
      <rPr>
        <sz val="8"/>
        <rFont val="Arial"/>
        <family val="0"/>
      </rPr>
      <t xml:space="preserve"> soggetti non normali rispetto alla gestione del magazzino</t>
    </r>
  </si>
  <si>
    <t>Nei "congrui e normali" il valore aggiunto per addetto supera i 19.000 euro.</t>
  </si>
  <si>
    <r>
      <t xml:space="preserve">Nei </t>
    </r>
    <r>
      <rPr>
        <b/>
        <sz val="8"/>
        <rFont val="Arial"/>
        <family val="2"/>
      </rPr>
      <t>4.811</t>
    </r>
    <r>
      <rPr>
        <sz val="8"/>
        <rFont val="Arial"/>
        <family val="0"/>
      </rPr>
      <t xml:space="preserve"> soggetti non normali rispetto al valore aggiunto per addetto</t>
    </r>
  </si>
  <si>
    <t>l'indicatore varia da 4.800 a 12.800 euro.</t>
  </si>
  <si>
    <t>Nei "congrui e normali" il valore aggiunto per addetto supera i 20.000 euro.</t>
  </si>
  <si>
    <r>
      <t xml:space="preserve">Nei </t>
    </r>
    <r>
      <rPr>
        <b/>
        <sz val="8"/>
        <rFont val="Arial"/>
        <family val="2"/>
      </rPr>
      <t>12.201</t>
    </r>
    <r>
      <rPr>
        <sz val="8"/>
        <rFont val="Arial"/>
        <family val="0"/>
      </rPr>
      <t xml:space="preserve"> soggetti non normali rispetto al valore aggiunto per addetto</t>
    </r>
  </si>
  <si>
    <t>l'indicatore varia da 5.800 a 13.800 euro.</t>
  </si>
  <si>
    <r>
      <t xml:space="preserve">Nei </t>
    </r>
    <r>
      <rPr>
        <b/>
        <sz val="8"/>
        <rFont val="Arial"/>
        <family val="2"/>
      </rPr>
      <t>6.480</t>
    </r>
    <r>
      <rPr>
        <sz val="8"/>
        <rFont val="Arial"/>
        <family val="0"/>
      </rPr>
      <t xml:space="preserve"> soggetti non normali rispetto al valore aggiunto per addetto</t>
    </r>
  </si>
  <si>
    <t>l'indicatore varia da 5.700 a 13.300 euro.</t>
  </si>
  <si>
    <t>Nei soggetti congrui e normali la durata delle scorte varia da 34 a 226 giorni.</t>
  </si>
  <si>
    <r>
      <t xml:space="preserve">Nei </t>
    </r>
    <r>
      <rPr>
        <b/>
        <sz val="8"/>
        <rFont val="Arial"/>
        <family val="2"/>
      </rPr>
      <t>3.778</t>
    </r>
    <r>
      <rPr>
        <sz val="8"/>
        <rFont val="Arial"/>
        <family val="0"/>
      </rPr>
      <t xml:space="preserve"> soggetti non normali rispetto alla gestione del magazzino</t>
    </r>
  </si>
  <si>
    <t>l'indicatore di durata delle scorte varia da 614 a 2.156 giorni.</t>
  </si>
  <si>
    <t>Nei soggetti congrui e normali la durata delle scorte varia da 9 a 42 giorni.</t>
  </si>
  <si>
    <r>
      <t xml:space="preserve">Nei </t>
    </r>
    <r>
      <rPr>
        <b/>
        <sz val="8"/>
        <rFont val="Arial"/>
        <family val="2"/>
      </rPr>
      <t>1.852</t>
    </r>
    <r>
      <rPr>
        <sz val="8"/>
        <rFont val="Arial"/>
        <family val="0"/>
      </rPr>
      <t xml:space="preserve"> soggetti non normali rispetto alla gestione del magazzino</t>
    </r>
  </si>
  <si>
    <t>l'indicatore di durata delle scorte varia da 142 a 378 giorni.</t>
  </si>
  <si>
    <r>
      <t xml:space="preserve">Nei </t>
    </r>
    <r>
      <rPr>
        <b/>
        <sz val="8"/>
        <rFont val="Arial"/>
        <family val="2"/>
      </rPr>
      <t>962</t>
    </r>
    <r>
      <rPr>
        <sz val="8"/>
        <rFont val="Arial"/>
        <family val="0"/>
      </rPr>
      <t xml:space="preserve"> soggetti non normali rispetto alla redditivtà dei beni strumentali</t>
    </r>
  </si>
  <si>
    <r>
      <t xml:space="preserve">Nei </t>
    </r>
    <r>
      <rPr>
        <b/>
        <sz val="8"/>
        <rFont val="Arial"/>
        <family val="2"/>
      </rPr>
      <t>1.897</t>
    </r>
    <r>
      <rPr>
        <sz val="8"/>
        <rFont val="Arial"/>
        <family val="0"/>
      </rPr>
      <t xml:space="preserve"> soggetti non normali rispetto alla redditivtà dei beni strumentali</t>
    </r>
  </si>
  <si>
    <r>
      <t xml:space="preserve">Nei </t>
    </r>
    <r>
      <rPr>
        <b/>
        <sz val="8"/>
        <rFont val="Arial"/>
        <family val="2"/>
      </rPr>
      <t>625</t>
    </r>
    <r>
      <rPr>
        <sz val="8"/>
        <rFont val="Arial"/>
        <family val="0"/>
      </rPr>
      <t xml:space="preserve"> soggetti non normali rispetto alla redditivtà dei beni strumentali</t>
    </r>
  </si>
  <si>
    <t>dichiarano redditi di poco superiori rispetto ai soggetti marginali.</t>
  </si>
  <si>
    <t>che varia tra 5.500 e 18.700 euro.</t>
  </si>
  <si>
    <t>Platea: 14.184 imprese</t>
  </si>
  <si>
    <r>
      <t>1.565</t>
    </r>
    <r>
      <rPr>
        <sz val="8"/>
        <rFont val="Arial"/>
        <family val="0"/>
      </rPr>
      <t xml:space="preserve"> imprese non dichiarano il valore dei beni strumentali</t>
    </r>
  </si>
  <si>
    <r>
      <t>965</t>
    </r>
    <r>
      <rPr>
        <sz val="8"/>
        <rFont val="Arial"/>
        <family val="0"/>
      </rPr>
      <t xml:space="preserve"> imprese non dichiarano il valore dei beni strumentali</t>
    </r>
  </si>
  <si>
    <t>di poco superiore rispetto a quello dei soggetti marginali.</t>
  </si>
  <si>
    <t>Platea: 45.509 imprese</t>
  </si>
  <si>
    <t>Platea: 23.381 imprese</t>
  </si>
  <si>
    <t>superiore a quello dei soggetti marginali.</t>
  </si>
  <si>
    <t>Studio di Settore TG33U - Servizi degli istituti di bellezza</t>
  </si>
  <si>
    <t>Platea: 16.847 imprese</t>
  </si>
  <si>
    <r>
      <t xml:space="preserve">Nei </t>
    </r>
    <r>
      <rPr>
        <b/>
        <sz val="8"/>
        <rFont val="Arial"/>
        <family val="2"/>
      </rPr>
      <t>1.464</t>
    </r>
    <r>
      <rPr>
        <sz val="8"/>
        <rFont val="Arial"/>
        <family val="0"/>
      </rPr>
      <t xml:space="preserve"> soggetti non normali rispetto alla redditivtà dei beni strumentali</t>
    </r>
  </si>
  <si>
    <t>Nei "congrui e normali" la redditività supera il valore 0,28.</t>
  </si>
  <si>
    <t>l'indicatore è inferiore al valore 0,09.</t>
  </si>
  <si>
    <t>Nei "congrui e normali" la redditività supera il valore 0,33.</t>
  </si>
  <si>
    <t>l'indicatore è inferiore al valore 0,11.</t>
  </si>
  <si>
    <t>l'indicatore è inferiore al valore 0,12.</t>
  </si>
  <si>
    <t>Nei "congrui e normali" la redditività supera il valore 0,31.</t>
  </si>
  <si>
    <t>Nei "congrui e normali" la redditività supera il valore 0,36.</t>
  </si>
  <si>
    <t>l'indicatore di durata delle scorte varia da 231 a 710 giorni.</t>
  </si>
  <si>
    <t>Nei soggetti congrui e normali la durata delle scorte varia da 70 a 273 giorni.</t>
  </si>
  <si>
    <r>
      <t xml:space="preserve">Nei </t>
    </r>
    <r>
      <rPr>
        <b/>
        <sz val="8"/>
        <rFont val="Arial"/>
        <family val="2"/>
      </rPr>
      <t>5.972</t>
    </r>
    <r>
      <rPr>
        <sz val="8"/>
        <rFont val="Arial"/>
        <family val="0"/>
      </rPr>
      <t xml:space="preserve"> soggetti non normali rispetto alla gestione del magazzino</t>
    </r>
  </si>
  <si>
    <r>
      <t>673</t>
    </r>
    <r>
      <rPr>
        <sz val="8"/>
        <rFont val="Arial"/>
        <family val="0"/>
      </rPr>
      <t xml:space="preserve"> imprese non dichiarano il valore dei beni strumentali</t>
    </r>
  </si>
  <si>
    <r>
      <t xml:space="preserve">Nei </t>
    </r>
    <r>
      <rPr>
        <b/>
        <sz val="8"/>
        <rFont val="Arial"/>
        <family val="2"/>
      </rPr>
      <t>9.072</t>
    </r>
    <r>
      <rPr>
        <sz val="8"/>
        <rFont val="Arial"/>
        <family val="0"/>
      </rPr>
      <t xml:space="preserve"> soggetti non normali rispetto al valore aggiunto per addetto</t>
    </r>
  </si>
  <si>
    <t>l'indicatore varia da 2.400 a 9.200 euro.</t>
  </si>
  <si>
    <t>Studio di Settore TM02U - Commercio al dettaglio di carni</t>
  </si>
  <si>
    <t>Platea: 27.776 imprese</t>
  </si>
  <si>
    <t>Studio di Settore TG72A - Trasporto con taxi</t>
  </si>
  <si>
    <t>Nei soggetti congrui e normali la durata delle scorte varia da 5 a 23 giorni.</t>
  </si>
  <si>
    <t>l'indicatore di durata delle scorte varia da 73 a 199 giorni.</t>
  </si>
  <si>
    <r>
      <t xml:space="preserve">Nei </t>
    </r>
    <r>
      <rPr>
        <b/>
        <sz val="8"/>
        <rFont val="Arial"/>
        <family val="2"/>
      </rPr>
      <t>3.099</t>
    </r>
    <r>
      <rPr>
        <sz val="8"/>
        <rFont val="Arial"/>
        <family val="0"/>
      </rPr>
      <t xml:space="preserve"> soggetti non normali rispetto alla gestione del magazzino</t>
    </r>
  </si>
  <si>
    <r>
      <t>137</t>
    </r>
    <r>
      <rPr>
        <sz val="8"/>
        <rFont val="Arial"/>
        <family val="0"/>
      </rPr>
      <t xml:space="preserve"> imprese non dichiarano il valore dei beni strumentali</t>
    </r>
  </si>
  <si>
    <t>Per il settore in esame non viene controllata la gestione</t>
  </si>
  <si>
    <t>del magazzino.</t>
  </si>
  <si>
    <r>
      <t>1.174</t>
    </r>
    <r>
      <rPr>
        <sz val="8"/>
        <rFont val="Arial"/>
        <family val="0"/>
      </rPr>
      <t xml:space="preserve"> imprese non dichiarano il valore dei beni strumentali</t>
    </r>
  </si>
  <si>
    <t>Platea: 17.158 imprese</t>
  </si>
  <si>
    <t>Nei "congrui e normali" il valore aggiunto per addetto supera i 16.000 euro.</t>
  </si>
  <si>
    <r>
      <t xml:space="preserve">Nei </t>
    </r>
    <r>
      <rPr>
        <b/>
        <sz val="8"/>
        <rFont val="Arial"/>
        <family val="2"/>
      </rPr>
      <t>13.350</t>
    </r>
    <r>
      <rPr>
        <sz val="8"/>
        <rFont val="Arial"/>
        <family val="0"/>
      </rPr>
      <t xml:space="preserve"> soggetti non normali rispetto al valore aggiunto per addetto</t>
    </r>
  </si>
  <si>
    <t>l'indicatore varia da 2.900 a 10.700 euro.</t>
  </si>
  <si>
    <r>
      <t xml:space="preserve">Nei </t>
    </r>
    <r>
      <rPr>
        <b/>
        <sz val="8"/>
        <rFont val="Arial"/>
        <family val="2"/>
      </rPr>
      <t>9.173</t>
    </r>
    <r>
      <rPr>
        <sz val="8"/>
        <rFont val="Arial"/>
        <family val="0"/>
      </rPr>
      <t xml:space="preserve"> soggetti non normali rispetto al valore aggiunto per addetto</t>
    </r>
  </si>
  <si>
    <t>l'indicatore varia da 10.200 a 14.100 euro.</t>
  </si>
  <si>
    <t>Nei "congrui e normali" la redditività supera il valore 0,82.</t>
  </si>
  <si>
    <r>
      <t xml:space="preserve">Nei </t>
    </r>
    <r>
      <rPr>
        <b/>
        <sz val="8"/>
        <rFont val="Arial"/>
        <family val="2"/>
      </rPr>
      <t>239</t>
    </r>
    <r>
      <rPr>
        <sz val="8"/>
        <rFont val="Arial"/>
        <family val="0"/>
      </rPr>
      <t xml:space="preserve"> soggetti non normali rispetto alla redditivtà dei beni strumentali</t>
    </r>
  </si>
  <si>
    <t>l'indicatore è inferiore al valore 0,25.</t>
  </si>
  <si>
    <t>Nei "congrui e normali" la redditività supera il valore 0,47.</t>
  </si>
  <si>
    <r>
      <t xml:space="preserve">Nei </t>
    </r>
    <r>
      <rPr>
        <b/>
        <sz val="8"/>
        <rFont val="Arial"/>
        <family val="2"/>
      </rPr>
      <t>1.206</t>
    </r>
    <r>
      <rPr>
        <sz val="8"/>
        <rFont val="Arial"/>
        <family val="0"/>
      </rPr>
      <t xml:space="preserve"> soggetti non normali rispetto alla redditivtà dei beni strumentali</t>
    </r>
  </si>
  <si>
    <t>l'indicatore è inferiore al valore 0,18.</t>
  </si>
  <si>
    <t>inferiore a quello dei soggetti congrui e normali.</t>
  </si>
  <si>
    <t>dichiarano redditi in misura inferiore rispetto ai congrui e normali.</t>
  </si>
  <si>
    <t>Studio di Settore TM05U - Commercio al dettaglio di abbigliamento e calzature</t>
  </si>
  <si>
    <t>Platea: 84.047 imprese</t>
  </si>
  <si>
    <t>Nei soggetti congrui e normali la durata delle scorte varia da 112 a 362 giorni.</t>
  </si>
  <si>
    <t>l'indicatore di durata delle scorte varia da 714 a 1.465 giorni.</t>
  </si>
  <si>
    <r>
      <t>4.060</t>
    </r>
    <r>
      <rPr>
        <sz val="8"/>
        <rFont val="Arial"/>
        <family val="0"/>
      </rPr>
      <t xml:space="preserve"> imprese non dichiarano il valore dei beni strumentali</t>
    </r>
  </si>
  <si>
    <r>
      <t xml:space="preserve">Nei </t>
    </r>
    <r>
      <rPr>
        <b/>
        <sz val="8"/>
        <rFont val="Arial"/>
        <family val="2"/>
      </rPr>
      <t>32.734</t>
    </r>
    <r>
      <rPr>
        <sz val="8"/>
        <rFont val="Arial"/>
        <family val="0"/>
      </rPr>
      <t xml:space="preserve"> soggetti non normali rispetto al valore aggiunto per addetto</t>
    </r>
  </si>
  <si>
    <t>l'indicatore varia da 0 a 10.200 euro.</t>
  </si>
  <si>
    <t>Nei "congrui e normali" la redditività supera il valore 0,52.</t>
  </si>
  <si>
    <r>
      <t xml:space="preserve">Nei </t>
    </r>
    <r>
      <rPr>
        <b/>
        <sz val="8"/>
        <rFont val="Arial"/>
        <family val="2"/>
      </rPr>
      <t>3.737</t>
    </r>
    <r>
      <rPr>
        <sz val="8"/>
        <rFont val="Arial"/>
        <family val="0"/>
      </rPr>
      <t xml:space="preserve"> soggetti non normali rispetto alla redditivtà dei beni strumentali</t>
    </r>
  </si>
  <si>
    <t>l'indicatore è inferiore al valore 0,16.</t>
  </si>
  <si>
    <t>Studio di Settore TM03A - Commercio ambulante di alimentari e bevande</t>
  </si>
  <si>
    <t>Platea: 27.070 imprese</t>
  </si>
  <si>
    <t>Nei soggetti congrui e normali la durata delle scorte varia da 4 a 42 giorni.</t>
  </si>
  <si>
    <r>
      <t xml:space="preserve">Nei </t>
    </r>
    <r>
      <rPr>
        <b/>
        <sz val="8"/>
        <rFont val="Arial"/>
        <family val="2"/>
      </rPr>
      <t>2.470</t>
    </r>
    <r>
      <rPr>
        <sz val="8"/>
        <rFont val="Arial"/>
        <family val="0"/>
      </rPr>
      <t xml:space="preserve"> soggetti non normali rispetto alla gestione del magazzino</t>
    </r>
  </si>
  <si>
    <t>l'indicatore di durata delle scorte varia da 70 a 298 giorni.</t>
  </si>
  <si>
    <t>Per il settore in esame non viene utilizzato</t>
  </si>
  <si>
    <t>l'indicatore "Incidenza dei costi di disponibilità dei beni</t>
  </si>
  <si>
    <t>strumentali mobili rispetto al valore storico degli stessi"</t>
  </si>
  <si>
    <r>
      <t xml:space="preserve">Nei </t>
    </r>
    <r>
      <rPr>
        <b/>
        <sz val="8"/>
        <rFont val="Arial"/>
        <family val="2"/>
      </rPr>
      <t>7.609</t>
    </r>
    <r>
      <rPr>
        <sz val="8"/>
        <rFont val="Arial"/>
        <family val="0"/>
      </rPr>
      <t xml:space="preserve"> soggetti non normali rispetto al valore aggiunto per addetto</t>
    </r>
  </si>
  <si>
    <t>l'indicatore varia da 3.500 a 10.800 euro.</t>
  </si>
  <si>
    <r>
      <t xml:space="preserve">Nei </t>
    </r>
    <r>
      <rPr>
        <b/>
        <sz val="8"/>
        <rFont val="Arial"/>
        <family val="2"/>
      </rPr>
      <t>1.132</t>
    </r>
    <r>
      <rPr>
        <sz val="8"/>
        <rFont val="Arial"/>
        <family val="0"/>
      </rPr>
      <t xml:space="preserve"> soggetti non normali rispetto alla redditivtà dei beni strumentali</t>
    </r>
  </si>
  <si>
    <t>l'indicatore è inferiore al valore 0,17.</t>
  </si>
  <si>
    <t>Studio di Settore TG31U - Manutenzione e riparazione di autoveicoli, motocicli e ciclomotori</t>
  </si>
  <si>
    <t>Platea: 72.197 imprese</t>
  </si>
  <si>
    <t>Studio di Settore TG34U - Servizi dei saloni di barbiere e parrucchiere</t>
  </si>
  <si>
    <t>Platea: 80.164 imprese</t>
  </si>
  <si>
    <t>Studio di Settore TG36U - Servizi di ristorazione</t>
  </si>
  <si>
    <t>Platea: 73.205 imprese</t>
  </si>
  <si>
    <t>Studio di Settore TG37U - Bar e caffè, gelaterie</t>
  </si>
  <si>
    <t>Platea: 91.114 imprese</t>
  </si>
  <si>
    <t>Nei soggetti congrui e normali la durata delle scorte varia da 17 a 109 giorni.</t>
  </si>
  <si>
    <r>
      <t xml:space="preserve">Nei </t>
    </r>
    <r>
      <rPr>
        <b/>
        <sz val="8"/>
        <rFont val="Arial"/>
        <family val="2"/>
      </rPr>
      <t>5.165</t>
    </r>
    <r>
      <rPr>
        <sz val="8"/>
        <rFont val="Arial"/>
        <family val="0"/>
      </rPr>
      <t xml:space="preserve"> soggetti non normali rispetto alla gestione del magazzino</t>
    </r>
  </si>
  <si>
    <t>l'indicatore di durata delle scorte varia da 504 a 1.361 giorni.</t>
  </si>
  <si>
    <t>Nei soggetti congrui e normali la durata delle scorte varia da 64 a 250 giorni.</t>
  </si>
  <si>
    <r>
      <t xml:space="preserve">Nei </t>
    </r>
    <r>
      <rPr>
        <b/>
        <sz val="8"/>
        <rFont val="Arial"/>
        <family val="2"/>
      </rPr>
      <t>21.897</t>
    </r>
    <r>
      <rPr>
        <sz val="8"/>
        <rFont val="Arial"/>
        <family val="0"/>
      </rPr>
      <t xml:space="preserve"> soggetti non normali rispetto alla gestione del magazzino</t>
    </r>
  </si>
  <si>
    <t>l'indicatore di durata delle scorte varia da 228 a 699 giorni.</t>
  </si>
  <si>
    <r>
      <t xml:space="preserve">Nei </t>
    </r>
    <r>
      <rPr>
        <b/>
        <sz val="8"/>
        <rFont val="Arial"/>
        <family val="2"/>
      </rPr>
      <t>16.942</t>
    </r>
    <r>
      <rPr>
        <sz val="8"/>
        <rFont val="Arial"/>
        <family val="0"/>
      </rPr>
      <t xml:space="preserve"> soggetti non normali rispetto alla gestione del magazzino</t>
    </r>
  </si>
  <si>
    <t>l'indicatore di durata delle scorte varia da 84 a 237 giorni.</t>
  </si>
  <si>
    <t>Nei soggetti congrui e normali la durata delle scorte varia da 18 a 72 giorni.</t>
  </si>
  <si>
    <r>
      <t xml:space="preserve">Nei </t>
    </r>
    <r>
      <rPr>
        <b/>
        <sz val="8"/>
        <rFont val="Arial"/>
        <family val="2"/>
      </rPr>
      <t>16.784</t>
    </r>
    <r>
      <rPr>
        <sz val="8"/>
        <rFont val="Arial"/>
        <family val="0"/>
      </rPr>
      <t xml:space="preserve"> soggetti non normali rispetto alla gestione del magazzino</t>
    </r>
  </si>
  <si>
    <t>l'indicatore di durata delle scorte varia da 149 a 407 giorni.</t>
  </si>
  <si>
    <r>
      <t>2.734</t>
    </r>
    <r>
      <rPr>
        <sz val="8"/>
        <rFont val="Arial"/>
        <family val="0"/>
      </rPr>
      <t xml:space="preserve"> imprese non dichiarano il valore dei beni strumentali</t>
    </r>
  </si>
  <si>
    <r>
      <t>2.580</t>
    </r>
    <r>
      <rPr>
        <sz val="8"/>
        <rFont val="Arial"/>
        <family val="0"/>
      </rPr>
      <t xml:space="preserve"> imprese non dichiarano il valore dei beni strumentali</t>
    </r>
  </si>
  <si>
    <r>
      <t>3.329</t>
    </r>
    <r>
      <rPr>
        <sz val="8"/>
        <rFont val="Arial"/>
        <family val="0"/>
      </rPr>
      <t xml:space="preserve"> imprese non dichiarano il valore dei beni strumentali</t>
    </r>
  </si>
  <si>
    <r>
      <t>4.248</t>
    </r>
    <r>
      <rPr>
        <sz val="8"/>
        <rFont val="Arial"/>
        <family val="0"/>
      </rPr>
      <t xml:space="preserve"> imprese non dichiarano il valore dei beni strumentali</t>
    </r>
  </si>
  <si>
    <r>
      <t xml:space="preserve">Nei </t>
    </r>
    <r>
      <rPr>
        <b/>
        <sz val="8"/>
        <rFont val="Arial"/>
        <family val="2"/>
      </rPr>
      <t>19.219</t>
    </r>
    <r>
      <rPr>
        <sz val="8"/>
        <rFont val="Arial"/>
        <family val="0"/>
      </rPr>
      <t xml:space="preserve"> soggetti non normali rispetto al valore aggiunto per addetto</t>
    </r>
  </si>
  <si>
    <t>l'indicatore varia da 4.800 a 11.900 euro.</t>
  </si>
  <si>
    <r>
      <t xml:space="preserve">Nei </t>
    </r>
    <r>
      <rPr>
        <b/>
        <sz val="8"/>
        <rFont val="Arial"/>
        <family val="2"/>
      </rPr>
      <t>36.825</t>
    </r>
    <r>
      <rPr>
        <sz val="8"/>
        <rFont val="Arial"/>
        <family val="0"/>
      </rPr>
      <t xml:space="preserve"> soggetti non normali rispetto al valore aggiunto per addetto</t>
    </r>
  </si>
  <si>
    <t>l'indicatore varia da 5.000 a 10.300 euro.</t>
  </si>
  <si>
    <t>Nei "congrui e normali" il valore aggiunto per addetto supera i 17.000 euro.</t>
  </si>
  <si>
    <r>
      <t xml:space="preserve">Nei </t>
    </r>
    <r>
      <rPr>
        <b/>
        <sz val="8"/>
        <rFont val="Arial"/>
        <family val="2"/>
      </rPr>
      <t>33.074</t>
    </r>
    <r>
      <rPr>
        <sz val="8"/>
        <rFont val="Arial"/>
        <family val="0"/>
      </rPr>
      <t xml:space="preserve"> soggetti non normali rispetto al valore aggiunto per addetto</t>
    </r>
  </si>
  <si>
    <t>l'indicatore varia da 2.800 a 11.000 euro.</t>
  </si>
  <si>
    <t>Nei "congrui e normali" la redditività supera il valore 0,45.</t>
  </si>
  <si>
    <r>
      <t xml:space="preserve">Nei </t>
    </r>
    <r>
      <rPr>
        <b/>
        <sz val="8"/>
        <rFont val="Arial"/>
        <family val="2"/>
      </rPr>
      <t>3.064</t>
    </r>
    <r>
      <rPr>
        <sz val="8"/>
        <rFont val="Arial"/>
        <family val="0"/>
      </rPr>
      <t xml:space="preserve"> soggetti non normali rispetto alla redditivtà dei beni strumentali</t>
    </r>
  </si>
  <si>
    <t>Nei "congrui e normali" la redditività supera il valore 0,69.</t>
  </si>
  <si>
    <r>
      <t xml:space="preserve">Nei </t>
    </r>
    <r>
      <rPr>
        <b/>
        <sz val="8"/>
        <rFont val="Arial"/>
        <family val="2"/>
      </rPr>
      <t>3.500</t>
    </r>
    <r>
      <rPr>
        <sz val="8"/>
        <rFont val="Arial"/>
        <family val="0"/>
      </rPr>
      <t xml:space="preserve"> soggetti non normali rispetto alla redditivtà dei beni strumentali</t>
    </r>
  </si>
  <si>
    <t>l'indicatore è inferiore al valore 0,24.</t>
  </si>
  <si>
    <t>Nei "congrui e normali" la redditività supera il valore 0,37.</t>
  </si>
  <si>
    <r>
      <t xml:space="preserve">Nei </t>
    </r>
    <r>
      <rPr>
        <b/>
        <sz val="8"/>
        <rFont val="Arial"/>
        <family val="2"/>
      </rPr>
      <t>6.466</t>
    </r>
    <r>
      <rPr>
        <sz val="8"/>
        <rFont val="Arial"/>
        <family val="0"/>
      </rPr>
      <t xml:space="preserve"> soggetti non normali rispetto alla redditivtà dei beni strumentali</t>
    </r>
  </si>
  <si>
    <t>l'indicatore è inferiore al valore 0,14.</t>
  </si>
  <si>
    <t>Nei "congrui e normali" la redditività supera il valore 0,44.</t>
  </si>
  <si>
    <r>
      <t xml:space="preserve">Nei </t>
    </r>
    <r>
      <rPr>
        <b/>
        <sz val="8"/>
        <rFont val="Arial"/>
        <family val="2"/>
      </rPr>
      <t>8.164</t>
    </r>
    <r>
      <rPr>
        <sz val="8"/>
        <rFont val="Arial"/>
        <family val="0"/>
      </rPr>
      <t xml:space="preserve"> soggetti non normali rispetto alla redditivtà dei beni strumentali</t>
    </r>
  </si>
  <si>
    <t>Nei soggetti congrui e normali la durata delle scorte varia da 19 a 105 giorni.</t>
  </si>
  <si>
    <r>
      <t>641</t>
    </r>
    <r>
      <rPr>
        <sz val="8"/>
        <rFont val="Arial"/>
        <family val="0"/>
      </rPr>
      <t xml:space="preserve"> imprese non dichiarano il valore dei beni strumentali</t>
    </r>
  </si>
  <si>
    <t>di poco superiore a quello dei soggetti marginali.</t>
  </si>
  <si>
    <t>Nei soggetti congrui e normali la durata delle scorte varia da 11 a 49 giorni.</t>
  </si>
  <si>
    <r>
      <t xml:space="preserve">Nei </t>
    </r>
    <r>
      <rPr>
        <b/>
        <sz val="8"/>
        <rFont val="Arial"/>
        <family val="2"/>
      </rPr>
      <t>25.896</t>
    </r>
    <r>
      <rPr>
        <sz val="8"/>
        <rFont val="Arial"/>
        <family val="0"/>
      </rPr>
      <t xml:space="preserve"> soggetti non normali rispetto al valore aggiunto per addetto</t>
    </r>
  </si>
  <si>
    <t>l'indicatore varia da 4.100 a 12.800 euro.</t>
  </si>
  <si>
    <r>
      <t xml:space="preserve">Nei </t>
    </r>
    <r>
      <rPr>
        <b/>
        <sz val="8"/>
        <rFont val="Arial"/>
        <family val="2"/>
      </rPr>
      <t>13.113</t>
    </r>
    <r>
      <rPr>
        <sz val="8"/>
        <rFont val="Arial"/>
        <family val="0"/>
      </rPr>
      <t xml:space="preserve"> soggetti non normali rispetto alla gestione del magazzino</t>
    </r>
  </si>
  <si>
    <r>
      <t xml:space="preserve">Il </t>
    </r>
    <r>
      <rPr>
        <b/>
        <sz val="10"/>
        <rFont val="Arial"/>
        <family val="2"/>
      </rPr>
      <t>range interquartile</t>
    </r>
    <r>
      <rPr>
        <sz val="10"/>
        <rFont val="Arial"/>
        <family val="0"/>
      </rPr>
      <t xml:space="preserve"> è l'intervallo tra il 1° quartile e il 3° quartile.</t>
    </r>
  </si>
  <si>
    <t xml:space="preserve"> </t>
  </si>
  <si>
    <t>il 1° quartile è il valore al di sotto del quale si posiziona il 25% dei soggetti;</t>
  </si>
  <si>
    <t>il 3° quartile è il valore al di sotto del quale si posiziona il 75% dei soggetti.</t>
  </si>
  <si>
    <t>Dopo aver ordinato i valori di una variabile,</t>
  </si>
  <si>
    <t>- i familiari diversi;</t>
  </si>
  <si>
    <r>
      <t>L'</t>
    </r>
    <r>
      <rPr>
        <b/>
        <sz val="10"/>
        <rFont val="Arial"/>
        <family val="2"/>
      </rPr>
      <t>analisi degli indicatori</t>
    </r>
    <r>
      <rPr>
        <sz val="10"/>
        <rFont val="Arial"/>
        <family val="0"/>
      </rPr>
      <t xml:space="preserve"> (Durata delle scorte, Valore aggiunto per addetto e</t>
    </r>
  </si>
  <si>
    <t>- il titolare (nel caso delle persone fisiche);</t>
  </si>
  <si>
    <t>- i collaboratori dell'impresa familiare e il coniuge dell'azienda coniugale (nel caso delle persone fisiche);</t>
  </si>
  <si>
    <t>- i soci con occupazione prevalente nell'impresa (nel caso delle società);</t>
  </si>
  <si>
    <t>- gli amministratori non soci (nel caso delle società).</t>
  </si>
  <si>
    <r>
      <t xml:space="preserve">Sono considerati </t>
    </r>
    <r>
      <rPr>
        <b/>
        <sz val="10"/>
        <rFont val="Arial"/>
        <family val="2"/>
      </rPr>
      <t xml:space="preserve">"addetti indipendenti" </t>
    </r>
    <r>
      <rPr>
        <sz val="10"/>
        <rFont val="Arial"/>
        <family val="0"/>
      </rPr>
      <t>le seguenti figure:</t>
    </r>
  </si>
  <si>
    <r>
      <t>redditività dei bei strumentali) è stata effettuata escludendo le</t>
    </r>
    <r>
      <rPr>
        <b/>
        <sz val="10"/>
        <rFont val="Arial"/>
        <family val="2"/>
      </rPr>
      <t xml:space="preserve"> imprese marginali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</si>
</sst>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%"/>
    <numFmt numFmtId="175" formatCode="_-* #,##0.000_-;\-* #,##0.000_-;_-* &quot;-&quot;??_-;_-@_-"/>
    <numFmt numFmtId="176" formatCode="_-* #,##0.0_-;\-* #,##0.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"/>
      <name val="Arial"/>
      <family val="2"/>
    </font>
    <font>
      <b/>
      <sz val="8"/>
      <color indexed="13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.75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TD01U!$E$53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TD01U!$E$54:$E$56</c:f>
              <c:numCache>
                <c:ptCount val="3"/>
                <c:pt idx="0">
                  <c:v>11.4</c:v>
                </c:pt>
                <c:pt idx="1">
                  <c:v>4.3</c:v>
                </c:pt>
                <c:pt idx="2">
                  <c:v>1.1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TD01U!$F$53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TD01U!$F$54:$F$56</c:f>
              <c:numCache>
                <c:ptCount val="3"/>
                <c:pt idx="0">
                  <c:v>10.700000000000001</c:v>
                </c:pt>
                <c:pt idx="1">
                  <c:v>8.5</c:v>
                </c:pt>
                <c:pt idx="2">
                  <c:v>5.199999999999999</c:v>
                </c:pt>
              </c:numCache>
            </c:numRef>
          </c:val>
          <c:shape val="box"/>
        </c:ser>
        <c:overlap val="100"/>
        <c:shape val="box"/>
        <c:axId val="59317459"/>
        <c:axId val="64095084"/>
      </c:bar3DChart>
      <c:catAx>
        <c:axId val="5931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095084"/>
        <c:crosses val="autoZero"/>
        <c:auto val="1"/>
        <c:lblOffset val="100"/>
        <c:noMultiLvlLbl val="0"/>
      </c:catAx>
      <c:valAx>
        <c:axId val="64095084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317459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TD09A!$E$11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TD09A!$E$12:$E$16</c:f>
              <c:numCache>
                <c:ptCount val="5"/>
                <c:pt idx="0">
                  <c:v>886</c:v>
                </c:pt>
                <c:pt idx="1">
                  <c:v>229</c:v>
                </c:pt>
                <c:pt idx="2">
                  <c:v>181</c:v>
                </c:pt>
                <c:pt idx="3">
                  <c:v>179</c:v>
                </c:pt>
                <c:pt idx="4">
                  <c:v>90</c:v>
                </c:pt>
              </c:numCache>
            </c:numRef>
          </c:val>
          <c:shape val="box"/>
        </c:ser>
        <c:shape val="box"/>
        <c:axId val="19985181"/>
        <c:axId val="45648902"/>
      </c:bar3DChart>
      <c:catAx>
        <c:axId val="1998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648902"/>
        <c:crosses val="autoZero"/>
        <c:auto val="1"/>
        <c:lblOffset val="100"/>
        <c:noMultiLvlLbl val="0"/>
      </c:catAx>
      <c:valAx>
        <c:axId val="4564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9851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TD09A!$E$27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TD09A!$E$28:$E$29</c:f>
              <c:numCache>
                <c:ptCount val="2"/>
                <c:pt idx="0">
                  <c:v>20.4</c:v>
                </c:pt>
                <c:pt idx="1">
                  <c:v>5.8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TD09A!$F$27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TD09A!$F$28:$F$29</c:f>
              <c:numCache>
                <c:ptCount val="2"/>
                <c:pt idx="0">
                  <c:v>11.800000000000004</c:v>
                </c:pt>
                <c:pt idx="1">
                  <c:v>8</c:v>
                </c:pt>
              </c:numCache>
            </c:numRef>
          </c:val>
          <c:shape val="box"/>
        </c:ser>
        <c:overlap val="100"/>
        <c:shape val="box"/>
        <c:axId val="8186935"/>
        <c:axId val="6573552"/>
      </c:bar3DChart>
      <c:catAx>
        <c:axId val="8186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73552"/>
        <c:crosses val="autoZero"/>
        <c:auto val="1"/>
        <c:lblOffset val="100"/>
        <c:noMultiLvlLbl val="0"/>
      </c:catAx>
      <c:valAx>
        <c:axId val="6573552"/>
        <c:scaling>
          <c:orientation val="minMax"/>
          <c:max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186935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TD09A!$E$32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TD09A!$E$33:$E$34</c:f>
              <c:numCache>
                <c:ptCount val="2"/>
                <c:pt idx="0">
                  <c:v>0.31</c:v>
                </c:pt>
                <c:pt idx="1">
                  <c:v>0.01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TD09A!$F$32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TD09A!$F$33:$F$34</c:f>
              <c:numCache>
                <c:ptCount val="2"/>
                <c:pt idx="0">
                  <c:v>0.6599999999999999</c:v>
                </c:pt>
                <c:pt idx="1">
                  <c:v>0.11</c:v>
                </c:pt>
              </c:numCache>
            </c:numRef>
          </c:val>
          <c:shape val="box"/>
        </c:ser>
        <c:overlap val="100"/>
        <c:shape val="box"/>
        <c:axId val="59161969"/>
        <c:axId val="62695674"/>
      </c:bar3DChart>
      <c:catAx>
        <c:axId val="59161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695674"/>
        <c:crossesAt val="-0.2"/>
        <c:auto val="1"/>
        <c:lblOffset val="100"/>
        <c:noMultiLvlLbl val="0"/>
      </c:catAx>
      <c:valAx>
        <c:axId val="62695674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16196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TD12U!$E$53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TD12U!$E$54:$E$56</c:f>
              <c:numCache>
                <c:ptCount val="3"/>
                <c:pt idx="0">
                  <c:v>13</c:v>
                </c:pt>
                <c:pt idx="1">
                  <c:v>6.1</c:v>
                </c:pt>
                <c:pt idx="2">
                  <c:v>5.2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TD12U!$F$53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TD12U!$F$54:$F$56</c:f>
              <c:numCache>
                <c:ptCount val="3"/>
                <c:pt idx="0">
                  <c:v>11.600000000000001</c:v>
                </c:pt>
                <c:pt idx="1">
                  <c:v>8.8</c:v>
                </c:pt>
                <c:pt idx="2">
                  <c:v>6.6000000000000005</c:v>
                </c:pt>
              </c:numCache>
            </c:numRef>
          </c:val>
          <c:shape val="box"/>
        </c:ser>
        <c:overlap val="100"/>
        <c:shape val="box"/>
        <c:axId val="27390155"/>
        <c:axId val="45184804"/>
      </c:bar3DChart>
      <c:catAx>
        <c:axId val="27390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84804"/>
        <c:crosses val="autoZero"/>
        <c:auto val="1"/>
        <c:lblOffset val="100"/>
        <c:noMultiLvlLbl val="0"/>
      </c:catAx>
      <c:valAx>
        <c:axId val="45184804"/>
        <c:scaling>
          <c:orientation val="minMax"/>
          <c:max val="2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390155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TD12U!$E$6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TD12U!$E$7:$E$8</c:f>
              <c:numCache>
                <c:ptCount val="2"/>
                <c:pt idx="0">
                  <c:v>9</c:v>
                </c:pt>
                <c:pt idx="1">
                  <c:v>142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TD12U!$F$6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TD12U!$F$7:$F$8</c:f>
              <c:numCache>
                <c:ptCount val="2"/>
                <c:pt idx="0">
                  <c:v>33</c:v>
                </c:pt>
                <c:pt idx="1">
                  <c:v>236</c:v>
                </c:pt>
              </c:numCache>
            </c:numRef>
          </c:val>
          <c:shape val="box"/>
        </c:ser>
        <c:overlap val="100"/>
        <c:shape val="box"/>
        <c:axId val="4010053"/>
        <c:axId val="36090478"/>
      </c:bar3DChart>
      <c:catAx>
        <c:axId val="4010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090478"/>
        <c:crosses val="autoZero"/>
        <c:auto val="1"/>
        <c:lblOffset val="100"/>
        <c:noMultiLvlLbl val="0"/>
      </c:catAx>
      <c:valAx>
        <c:axId val="36090478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10053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TD12U!$E$48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TD12U!$E$49:$E$51</c:f>
              <c:numCache>
                <c:ptCount val="3"/>
                <c:pt idx="0">
                  <c:v>17.7</c:v>
                </c:pt>
                <c:pt idx="1">
                  <c:v>7.9</c:v>
                </c:pt>
                <c:pt idx="2">
                  <c:v>5.2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TD12U!$F$48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TD12U!$F$49:$F$51</c:f>
              <c:numCache>
                <c:ptCount val="3"/>
                <c:pt idx="0">
                  <c:v>27.599999999999998</c:v>
                </c:pt>
                <c:pt idx="1">
                  <c:v>18</c:v>
                </c:pt>
                <c:pt idx="2">
                  <c:v>6.8</c:v>
                </c:pt>
              </c:numCache>
            </c:numRef>
          </c:val>
          <c:shape val="box"/>
        </c:ser>
        <c:overlap val="100"/>
        <c:shape val="box"/>
        <c:axId val="56378847"/>
        <c:axId val="37647576"/>
      </c:bar3DChart>
      <c:catAx>
        <c:axId val="56378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647576"/>
        <c:crosses val="autoZero"/>
        <c:auto val="1"/>
        <c:lblOffset val="100"/>
        <c:noMultiLvlLbl val="0"/>
      </c:catAx>
      <c:valAx>
        <c:axId val="3764757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37884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TD12U!$E$11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TD12U!$E$12:$E$16</c:f>
              <c:numCache>
                <c:ptCount val="5"/>
                <c:pt idx="0">
                  <c:v>523</c:v>
                </c:pt>
                <c:pt idx="1">
                  <c:v>229</c:v>
                </c:pt>
                <c:pt idx="2">
                  <c:v>134</c:v>
                </c:pt>
                <c:pt idx="3">
                  <c:v>65</c:v>
                </c:pt>
                <c:pt idx="4">
                  <c:v>14</c:v>
                </c:pt>
              </c:numCache>
            </c:numRef>
          </c:val>
          <c:shape val="box"/>
        </c:ser>
        <c:shape val="box"/>
        <c:axId val="3283865"/>
        <c:axId val="29554786"/>
      </c:bar3DChart>
      <c:catAx>
        <c:axId val="3283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554786"/>
        <c:crosses val="autoZero"/>
        <c:auto val="1"/>
        <c:lblOffset val="100"/>
        <c:noMultiLvlLbl val="0"/>
      </c:catAx>
      <c:valAx>
        <c:axId val="29554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838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TD12U!$E$27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TD12U!$E$28:$E$29</c:f>
              <c:numCache>
                <c:ptCount val="2"/>
                <c:pt idx="0">
                  <c:v>19.4</c:v>
                </c:pt>
                <c:pt idx="1">
                  <c:v>5.7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TD12U!$F$27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TD12U!$F$28:$F$29</c:f>
              <c:numCache>
                <c:ptCount val="2"/>
                <c:pt idx="0">
                  <c:v>10</c:v>
                </c:pt>
                <c:pt idx="1">
                  <c:v>7.6000000000000005</c:v>
                </c:pt>
              </c:numCache>
            </c:numRef>
          </c:val>
          <c:shape val="box"/>
        </c:ser>
        <c:overlap val="100"/>
        <c:shape val="box"/>
        <c:axId val="64666483"/>
        <c:axId val="45127436"/>
      </c:bar3DChart>
      <c:catAx>
        <c:axId val="64666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27436"/>
        <c:crosses val="autoZero"/>
        <c:auto val="1"/>
        <c:lblOffset val="100"/>
        <c:noMultiLvlLbl val="0"/>
      </c:catAx>
      <c:valAx>
        <c:axId val="4512743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66483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TD12U!$E$32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TD12U!$E$33:$E$34</c:f>
              <c:numCache>
                <c:ptCount val="2"/>
                <c:pt idx="0">
                  <c:v>0.33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TD12U!$F$32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TD12U!$D$33:$D$34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TD12U!$F$33:$F$34</c:f>
              <c:numCache>
                <c:ptCount val="2"/>
                <c:pt idx="0">
                  <c:v>0.5800000000000001</c:v>
                </c:pt>
                <c:pt idx="1">
                  <c:v>0.11</c:v>
                </c:pt>
              </c:numCache>
            </c:numRef>
          </c:val>
          <c:shape val="box"/>
        </c:ser>
        <c:overlap val="100"/>
        <c:shape val="box"/>
        <c:axId val="3493741"/>
        <c:axId val="31443670"/>
      </c:bar3DChart>
      <c:catAx>
        <c:axId val="3493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443670"/>
        <c:crossesAt val="-0.2"/>
        <c:auto val="1"/>
        <c:lblOffset val="100"/>
        <c:noMultiLvlLbl val="0"/>
      </c:catAx>
      <c:valAx>
        <c:axId val="31443670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9374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TG31U!$E$53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TG31U!$E$54:$E$56</c:f>
              <c:numCache>
                <c:ptCount val="3"/>
                <c:pt idx="0">
                  <c:v>13.7</c:v>
                </c:pt>
                <c:pt idx="1">
                  <c:v>5.3</c:v>
                </c:pt>
                <c:pt idx="2">
                  <c:v>4.4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TG31U!$F$53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TG31U!$F$54:$F$56</c:f>
              <c:numCache>
                <c:ptCount val="3"/>
                <c:pt idx="0">
                  <c:v>11.7</c:v>
                </c:pt>
                <c:pt idx="1">
                  <c:v>7.8999999999999995</c:v>
                </c:pt>
                <c:pt idx="2">
                  <c:v>5.4</c:v>
                </c:pt>
              </c:numCache>
            </c:numRef>
          </c:val>
          <c:shape val="box"/>
        </c:ser>
        <c:overlap val="100"/>
        <c:shape val="box"/>
        <c:axId val="14557575"/>
        <c:axId val="63909312"/>
      </c:bar3DChart>
      <c:catAx>
        <c:axId val="1455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09312"/>
        <c:crosses val="autoZero"/>
        <c:auto val="1"/>
        <c:lblOffset val="100"/>
        <c:noMultiLvlLbl val="0"/>
      </c:catAx>
      <c:valAx>
        <c:axId val="63909312"/>
        <c:scaling>
          <c:orientation val="minMax"/>
          <c:max val="2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557575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TD01U!$E$6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TD01U!$E$7:$E$8</c:f>
              <c:numCache>
                <c:ptCount val="2"/>
                <c:pt idx="0">
                  <c:v>19</c:v>
                </c:pt>
                <c:pt idx="1">
                  <c:v>362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TD01U!$F$6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TD01U!$F$7:$F$8</c:f>
              <c:numCache>
                <c:ptCount val="2"/>
                <c:pt idx="0">
                  <c:v>86</c:v>
                </c:pt>
                <c:pt idx="1">
                  <c:v>509</c:v>
                </c:pt>
              </c:numCache>
            </c:numRef>
          </c:val>
          <c:shape val="box"/>
        </c:ser>
        <c:overlap val="100"/>
        <c:shape val="box"/>
        <c:axId val="39984845"/>
        <c:axId val="24319286"/>
      </c:bar3DChart>
      <c:catAx>
        <c:axId val="39984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319286"/>
        <c:crosses val="autoZero"/>
        <c:auto val="1"/>
        <c:lblOffset val="100"/>
        <c:noMultiLvlLbl val="0"/>
      </c:catAx>
      <c:valAx>
        <c:axId val="2431928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98484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TG31U!$E$6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TG31U!$E$7:$E$8</c:f>
              <c:numCache>
                <c:ptCount val="2"/>
                <c:pt idx="0">
                  <c:v>17</c:v>
                </c:pt>
                <c:pt idx="1">
                  <c:v>504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TG31U!$F$6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TG31U!$F$7:$F$8</c:f>
              <c:numCache>
                <c:ptCount val="2"/>
                <c:pt idx="0">
                  <c:v>92</c:v>
                </c:pt>
                <c:pt idx="1">
                  <c:v>857</c:v>
                </c:pt>
              </c:numCache>
            </c:numRef>
          </c:val>
          <c:shape val="box"/>
        </c:ser>
        <c:overlap val="100"/>
        <c:shape val="box"/>
        <c:axId val="38312897"/>
        <c:axId val="9271754"/>
      </c:bar3DChart>
      <c:catAx>
        <c:axId val="38312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271754"/>
        <c:crosses val="autoZero"/>
        <c:auto val="1"/>
        <c:lblOffset val="100"/>
        <c:noMultiLvlLbl val="0"/>
      </c:catAx>
      <c:valAx>
        <c:axId val="9271754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312897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TG31U!$E$48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TG31U!$E$49:$E$51</c:f>
              <c:numCache>
                <c:ptCount val="3"/>
                <c:pt idx="0">
                  <c:v>16.9</c:v>
                </c:pt>
                <c:pt idx="1">
                  <c:v>6.1</c:v>
                </c:pt>
                <c:pt idx="2">
                  <c:v>4.5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TG31U!$F$48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TG31U!$F$49:$F$51</c:f>
              <c:numCache>
                <c:ptCount val="3"/>
                <c:pt idx="0">
                  <c:v>25.6</c:v>
                </c:pt>
                <c:pt idx="1">
                  <c:v>10.1</c:v>
                </c:pt>
                <c:pt idx="2">
                  <c:v>5.4</c:v>
                </c:pt>
              </c:numCache>
            </c:numRef>
          </c:val>
          <c:shape val="box"/>
        </c:ser>
        <c:overlap val="100"/>
        <c:shape val="box"/>
        <c:axId val="16336923"/>
        <c:axId val="12814580"/>
      </c:bar3DChart>
      <c:catAx>
        <c:axId val="16336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814580"/>
        <c:crosses val="autoZero"/>
        <c:auto val="1"/>
        <c:lblOffset val="100"/>
        <c:noMultiLvlLbl val="0"/>
      </c:catAx>
      <c:valAx>
        <c:axId val="12814580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33692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TG31U!$E$11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TG31U!$E$12:$E$16</c:f>
              <c:numCache>
                <c:ptCount val="5"/>
                <c:pt idx="0">
                  <c:v>1860</c:v>
                </c:pt>
                <c:pt idx="1">
                  <c:v>402</c:v>
                </c:pt>
                <c:pt idx="2">
                  <c:v>266</c:v>
                </c:pt>
                <c:pt idx="3">
                  <c:v>171</c:v>
                </c:pt>
                <c:pt idx="4">
                  <c:v>35</c:v>
                </c:pt>
              </c:numCache>
            </c:numRef>
          </c:val>
          <c:shape val="box"/>
        </c:ser>
        <c:shape val="box"/>
        <c:axId val="48222357"/>
        <c:axId val="31348030"/>
      </c:bar3DChart>
      <c:catAx>
        <c:axId val="4822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348030"/>
        <c:crosses val="autoZero"/>
        <c:auto val="1"/>
        <c:lblOffset val="100"/>
        <c:noMultiLvlLbl val="0"/>
      </c:catAx>
      <c:valAx>
        <c:axId val="3134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2223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TG31U!$E$27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TG31U!$E$28:$E$29</c:f>
              <c:numCache>
                <c:ptCount val="2"/>
                <c:pt idx="0">
                  <c:v>19.1</c:v>
                </c:pt>
                <c:pt idx="1">
                  <c:v>4.8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TG31U!$F$27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TG31U!$F$28:$F$29</c:f>
              <c:numCache>
                <c:ptCount val="2"/>
                <c:pt idx="0">
                  <c:v>11.599999999999998</c:v>
                </c:pt>
                <c:pt idx="1">
                  <c:v>7.1000000000000005</c:v>
                </c:pt>
              </c:numCache>
            </c:numRef>
          </c:val>
          <c:shape val="box"/>
        </c:ser>
        <c:overlap val="100"/>
        <c:shape val="box"/>
        <c:axId val="13696815"/>
        <c:axId val="56162472"/>
      </c:bar3DChart>
      <c:catAx>
        <c:axId val="13696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162472"/>
        <c:crosses val="autoZero"/>
        <c:auto val="1"/>
        <c:lblOffset val="100"/>
        <c:noMultiLvlLbl val="0"/>
      </c:catAx>
      <c:valAx>
        <c:axId val="56162472"/>
        <c:scaling>
          <c:orientation val="minMax"/>
          <c:max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696815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TG31U!$E$32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TG31U!$E$33:$E$34</c:f>
              <c:numCache>
                <c:ptCount val="2"/>
                <c:pt idx="0">
                  <c:v>0.45</c:v>
                </c:pt>
                <c:pt idx="1">
                  <c:v>0.04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TG31U!$F$32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TG31U!$D$33:$D$34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TG31U!$F$33:$F$34</c:f>
              <c:numCache>
                <c:ptCount val="2"/>
                <c:pt idx="0">
                  <c:v>0.73</c:v>
                </c:pt>
                <c:pt idx="1">
                  <c:v>0.14</c:v>
                </c:pt>
              </c:numCache>
            </c:numRef>
          </c:val>
          <c:shape val="box"/>
        </c:ser>
        <c:overlap val="100"/>
        <c:shape val="box"/>
        <c:axId val="35700201"/>
        <c:axId val="52866354"/>
      </c:bar3DChart>
      <c:catAx>
        <c:axId val="3570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866354"/>
        <c:crossesAt val="-0.2"/>
        <c:auto val="1"/>
        <c:lblOffset val="100"/>
        <c:noMultiLvlLbl val="0"/>
      </c:catAx>
      <c:valAx>
        <c:axId val="52866354"/>
        <c:scaling>
          <c:orientation val="minMax"/>
          <c:max val="1.2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00201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TG33U!$E$53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TG33U!$E$54:$E$56</c:f>
              <c:numCache>
                <c:ptCount val="3"/>
                <c:pt idx="0">
                  <c:v>9.2</c:v>
                </c:pt>
                <c:pt idx="1">
                  <c:v>0.7</c:v>
                </c:pt>
                <c:pt idx="2">
                  <c:v>1.3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TG33U!$F$53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TG33U!$F$54:$F$56</c:f>
              <c:numCache>
                <c:ptCount val="3"/>
                <c:pt idx="0">
                  <c:v>6.300000000000001</c:v>
                </c:pt>
                <c:pt idx="1">
                  <c:v>8.4</c:v>
                </c:pt>
                <c:pt idx="2">
                  <c:v>4.3</c:v>
                </c:pt>
              </c:numCache>
            </c:numRef>
          </c:val>
          <c:shape val="box"/>
        </c:ser>
        <c:overlap val="100"/>
        <c:shape val="box"/>
        <c:axId val="6035139"/>
        <c:axId val="54316252"/>
      </c:bar3DChart>
      <c:catAx>
        <c:axId val="6035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316252"/>
        <c:crosses val="autoZero"/>
        <c:auto val="1"/>
        <c:lblOffset val="100"/>
        <c:noMultiLvlLbl val="0"/>
      </c:catAx>
      <c:valAx>
        <c:axId val="54316252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35139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TG33U!$E$6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TG33U!$E$7:$E$8</c:f>
              <c:numCache>
                <c:ptCount val="2"/>
                <c:pt idx="0">
                  <c:v>70</c:v>
                </c:pt>
                <c:pt idx="1">
                  <c:v>231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TG33U!$F$6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TG33U!$F$7:$F$8</c:f>
              <c:numCache>
                <c:ptCount val="2"/>
                <c:pt idx="0">
                  <c:v>203</c:v>
                </c:pt>
                <c:pt idx="1">
                  <c:v>479</c:v>
                </c:pt>
              </c:numCache>
            </c:numRef>
          </c:val>
          <c:shape val="box"/>
        </c:ser>
        <c:overlap val="100"/>
        <c:shape val="box"/>
        <c:axId val="19084221"/>
        <c:axId val="37540262"/>
      </c:bar3DChart>
      <c:catAx>
        <c:axId val="19084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540262"/>
        <c:crosses val="autoZero"/>
        <c:auto val="1"/>
        <c:lblOffset val="100"/>
        <c:noMultiLvlLbl val="0"/>
      </c:catAx>
      <c:valAx>
        <c:axId val="37540262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084221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TG33U!$E$48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TG33U!$E$49:$E$51</c:f>
              <c:numCache>
                <c:ptCount val="3"/>
                <c:pt idx="0">
                  <c:v>10.2</c:v>
                </c:pt>
                <c:pt idx="1">
                  <c:v>0.7</c:v>
                </c:pt>
                <c:pt idx="2">
                  <c:v>1.3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TG33U!$F$48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TG33U!$F$49:$F$51</c:f>
              <c:numCache>
                <c:ptCount val="3"/>
                <c:pt idx="0">
                  <c:v>8</c:v>
                </c:pt>
                <c:pt idx="1">
                  <c:v>9.200000000000001</c:v>
                </c:pt>
                <c:pt idx="2">
                  <c:v>4.3</c:v>
                </c:pt>
              </c:numCache>
            </c:numRef>
          </c:val>
          <c:shape val="box"/>
        </c:ser>
        <c:overlap val="100"/>
        <c:shape val="box"/>
        <c:axId val="2318039"/>
        <c:axId val="20862352"/>
      </c:bar3DChart>
      <c:catAx>
        <c:axId val="2318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862352"/>
        <c:crosses val="autoZero"/>
        <c:auto val="1"/>
        <c:lblOffset val="100"/>
        <c:noMultiLvlLbl val="0"/>
      </c:catAx>
      <c:valAx>
        <c:axId val="2086235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8039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6975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TG33U!$E$11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TG33U!$E$12:$E$16</c:f>
              <c:numCache>
                <c:ptCount val="5"/>
                <c:pt idx="0">
                  <c:v>414</c:v>
                </c:pt>
                <c:pt idx="1">
                  <c:v>160</c:v>
                </c:pt>
                <c:pt idx="2">
                  <c:v>73</c:v>
                </c:pt>
                <c:pt idx="3">
                  <c:v>25</c:v>
                </c:pt>
                <c:pt idx="4">
                  <c:v>1</c:v>
                </c:pt>
              </c:numCache>
            </c:numRef>
          </c:val>
          <c:shape val="box"/>
        </c:ser>
        <c:shape val="box"/>
        <c:axId val="53543441"/>
        <c:axId val="12128922"/>
      </c:bar3DChart>
      <c:catAx>
        <c:axId val="5354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128922"/>
        <c:crosses val="autoZero"/>
        <c:auto val="1"/>
        <c:lblOffset val="100"/>
        <c:noMultiLvlLbl val="0"/>
      </c:catAx>
      <c:valAx>
        <c:axId val="1212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5434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TG33U!$E$27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TG33U!$E$28:$E$29</c:f>
              <c:numCache>
                <c:ptCount val="2"/>
                <c:pt idx="0">
                  <c:v>14.4</c:v>
                </c:pt>
                <c:pt idx="1">
                  <c:v>2.4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TG33U!$F$27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TG33U!$F$28:$F$29</c:f>
              <c:numCache>
                <c:ptCount val="2"/>
                <c:pt idx="0">
                  <c:v>5.700000000000001</c:v>
                </c:pt>
                <c:pt idx="1">
                  <c:v>6.799999999999999</c:v>
                </c:pt>
              </c:numCache>
            </c:numRef>
          </c:val>
          <c:shape val="box"/>
        </c:ser>
        <c:overlap val="100"/>
        <c:shape val="box"/>
        <c:axId val="42051435"/>
        <c:axId val="42918596"/>
      </c:bar3DChart>
      <c:catAx>
        <c:axId val="42051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918596"/>
        <c:crosses val="autoZero"/>
        <c:auto val="1"/>
        <c:lblOffset val="100"/>
        <c:noMultiLvlLbl val="0"/>
      </c:catAx>
      <c:valAx>
        <c:axId val="4291859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051435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TD01U!$E$48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TD01U!$E$49:$E$51</c:f>
              <c:numCache>
                <c:ptCount val="3"/>
                <c:pt idx="0">
                  <c:v>15.4</c:v>
                </c:pt>
                <c:pt idx="1">
                  <c:v>5.5</c:v>
                </c:pt>
                <c:pt idx="2">
                  <c:v>1.1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TD01U!$F$48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TD01U!$F$49:$F$51</c:f>
              <c:numCache>
                <c:ptCount val="3"/>
                <c:pt idx="0">
                  <c:v>22.1</c:v>
                </c:pt>
                <c:pt idx="1">
                  <c:v>13.2</c:v>
                </c:pt>
                <c:pt idx="2">
                  <c:v>5.300000000000001</c:v>
                </c:pt>
              </c:numCache>
            </c:numRef>
          </c:val>
          <c:shape val="box"/>
        </c:ser>
        <c:overlap val="100"/>
        <c:shape val="box"/>
        <c:axId val="17546983"/>
        <c:axId val="23705120"/>
      </c:bar3DChart>
      <c:catAx>
        <c:axId val="17546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705120"/>
        <c:crosses val="autoZero"/>
        <c:auto val="1"/>
        <c:lblOffset val="100"/>
        <c:noMultiLvlLbl val="0"/>
      </c:catAx>
      <c:valAx>
        <c:axId val="23705120"/>
        <c:scaling>
          <c:orientation val="minMax"/>
          <c:max val="3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546983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TG33U!$E$32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TG33U!$E$33:$E$34</c:f>
              <c:numCache>
                <c:ptCount val="2"/>
                <c:pt idx="0">
                  <c:v>0.28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TG33U!$F$32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TG33U!$D$33:$D$34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TG33U!$F$33:$F$34</c:f>
              <c:numCache>
                <c:ptCount val="2"/>
                <c:pt idx="0">
                  <c:v>0.41999999999999993</c:v>
                </c:pt>
                <c:pt idx="1">
                  <c:v>0.09</c:v>
                </c:pt>
              </c:numCache>
            </c:numRef>
          </c:val>
          <c:shape val="box"/>
        </c:ser>
        <c:overlap val="100"/>
        <c:shape val="box"/>
        <c:axId val="50723045"/>
        <c:axId val="53854222"/>
      </c:bar3DChart>
      <c:catAx>
        <c:axId val="50723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854222"/>
        <c:crossesAt val="-0.2"/>
        <c:auto val="1"/>
        <c:lblOffset val="100"/>
        <c:noMultiLvlLbl val="0"/>
      </c:catAx>
      <c:valAx>
        <c:axId val="53854222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72304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TG34U!$E$53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TG34U!$E$54:$E$56</c:f>
              <c:numCache>
                <c:ptCount val="3"/>
                <c:pt idx="0">
                  <c:v>11.6</c:v>
                </c:pt>
                <c:pt idx="1">
                  <c:v>5</c:v>
                </c:pt>
                <c:pt idx="2">
                  <c:v>4.9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TG34U!$F$53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TG34U!$F$54:$F$56</c:f>
              <c:numCache>
                <c:ptCount val="3"/>
                <c:pt idx="0">
                  <c:v>5.299999999999999</c:v>
                </c:pt>
                <c:pt idx="1">
                  <c:v>5.699999999999999</c:v>
                </c:pt>
                <c:pt idx="2">
                  <c:v>5.1</c:v>
                </c:pt>
              </c:numCache>
            </c:numRef>
          </c:val>
          <c:shape val="box"/>
        </c:ser>
        <c:overlap val="100"/>
        <c:shape val="box"/>
        <c:axId val="14925951"/>
        <c:axId val="115832"/>
      </c:bar3DChart>
      <c:catAx>
        <c:axId val="14925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5832"/>
        <c:crosses val="autoZero"/>
        <c:auto val="1"/>
        <c:lblOffset val="100"/>
        <c:noMultiLvlLbl val="0"/>
      </c:catAx>
      <c:valAx>
        <c:axId val="115832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25951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TG34U!$E$6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TG34U!$E$7:$E$8</c:f>
              <c:numCache>
                <c:ptCount val="2"/>
                <c:pt idx="0">
                  <c:v>64</c:v>
                </c:pt>
                <c:pt idx="1">
                  <c:v>228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TG34U!$F$6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TG34U!$F$7:$F$8</c:f>
              <c:numCache>
                <c:ptCount val="2"/>
                <c:pt idx="0">
                  <c:v>186</c:v>
                </c:pt>
                <c:pt idx="1">
                  <c:v>471</c:v>
                </c:pt>
              </c:numCache>
            </c:numRef>
          </c:val>
          <c:shape val="box"/>
        </c:ser>
        <c:overlap val="100"/>
        <c:shape val="box"/>
        <c:axId val="1042489"/>
        <c:axId val="9382402"/>
      </c:bar3DChart>
      <c:catAx>
        <c:axId val="104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382402"/>
        <c:crosses val="autoZero"/>
        <c:auto val="1"/>
        <c:lblOffset val="100"/>
        <c:noMultiLvlLbl val="0"/>
      </c:catAx>
      <c:valAx>
        <c:axId val="9382402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42489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TG34U!$E$48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TG34U!$E$49:$E$51</c:f>
              <c:numCache>
                <c:ptCount val="3"/>
                <c:pt idx="0">
                  <c:v>13.1</c:v>
                </c:pt>
                <c:pt idx="1">
                  <c:v>5.5</c:v>
                </c:pt>
                <c:pt idx="2">
                  <c:v>4.9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TG34U!$F$48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TG34U!$F$49:$F$51</c:f>
              <c:numCache>
                <c:ptCount val="3"/>
                <c:pt idx="0">
                  <c:v>8.4</c:v>
                </c:pt>
                <c:pt idx="1">
                  <c:v>6.699999999999999</c:v>
                </c:pt>
                <c:pt idx="2">
                  <c:v>5.1</c:v>
                </c:pt>
              </c:numCache>
            </c:numRef>
          </c:val>
          <c:shape val="box"/>
        </c:ser>
        <c:overlap val="100"/>
        <c:shape val="box"/>
        <c:axId val="17332755"/>
        <c:axId val="21777068"/>
      </c:bar3DChart>
      <c:catAx>
        <c:axId val="17332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777068"/>
        <c:crosses val="autoZero"/>
        <c:auto val="1"/>
        <c:lblOffset val="100"/>
        <c:noMultiLvlLbl val="0"/>
      </c:catAx>
      <c:valAx>
        <c:axId val="21777068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332755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TG34U!$E$11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TG34U!$E$12:$E$16</c:f>
              <c:numCache>
                <c:ptCount val="5"/>
                <c:pt idx="0">
                  <c:v>2302</c:v>
                </c:pt>
                <c:pt idx="1">
                  <c:v>196</c:v>
                </c:pt>
                <c:pt idx="2">
                  <c:v>66</c:v>
                </c:pt>
                <c:pt idx="3">
                  <c:v>14</c:v>
                </c:pt>
                <c:pt idx="4">
                  <c:v>2</c:v>
                </c:pt>
              </c:numCache>
            </c:numRef>
          </c:val>
          <c:shape val="box"/>
        </c:ser>
        <c:shape val="box"/>
        <c:axId val="61775885"/>
        <c:axId val="19112054"/>
      </c:bar3DChart>
      <c:catAx>
        <c:axId val="61775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112054"/>
        <c:crosses val="autoZero"/>
        <c:auto val="1"/>
        <c:lblOffset val="100"/>
        <c:noMultiLvlLbl val="0"/>
      </c:catAx>
      <c:valAx>
        <c:axId val="1911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7758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TG34U!$E$27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TG34U!$E$28:$E$29</c:f>
              <c:numCache>
                <c:ptCount val="2"/>
                <c:pt idx="0">
                  <c:v>14.2</c:v>
                </c:pt>
                <c:pt idx="1">
                  <c:v>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TG34U!$F$27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TG34U!$F$28:$F$29</c:f>
              <c:numCache>
                <c:ptCount val="2"/>
                <c:pt idx="0">
                  <c:v>4</c:v>
                </c:pt>
                <c:pt idx="1">
                  <c:v>5.300000000000001</c:v>
                </c:pt>
              </c:numCache>
            </c:numRef>
          </c:val>
          <c:shape val="box"/>
        </c:ser>
        <c:overlap val="100"/>
        <c:shape val="box"/>
        <c:axId val="37790759"/>
        <c:axId val="4572512"/>
      </c:bar3DChart>
      <c:catAx>
        <c:axId val="37790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72512"/>
        <c:crosses val="autoZero"/>
        <c:auto val="1"/>
        <c:lblOffset val="100"/>
        <c:noMultiLvlLbl val="0"/>
      </c:catAx>
      <c:valAx>
        <c:axId val="457251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79075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TG34U!$E$32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TG34U!$E$33:$E$34</c:f>
              <c:numCache>
                <c:ptCount val="2"/>
                <c:pt idx="0">
                  <c:v>0.69</c:v>
                </c:pt>
                <c:pt idx="1">
                  <c:v>0.01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TG34U!$F$32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TG34U!$D$33:$D$34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TG34U!$F$33:$F$34</c:f>
              <c:numCache>
                <c:ptCount val="2"/>
                <c:pt idx="0">
                  <c:v>1.1500000000000001</c:v>
                </c:pt>
                <c:pt idx="1">
                  <c:v>0.23</c:v>
                </c:pt>
              </c:numCache>
            </c:numRef>
          </c:val>
          <c:shape val="box"/>
        </c:ser>
        <c:overlap val="100"/>
        <c:shape val="box"/>
        <c:axId val="41152609"/>
        <c:axId val="34829162"/>
      </c:bar3DChart>
      <c:catAx>
        <c:axId val="41152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829162"/>
        <c:crossesAt val="-0.2"/>
        <c:auto val="1"/>
        <c:lblOffset val="100"/>
        <c:noMultiLvlLbl val="0"/>
      </c:catAx>
      <c:valAx>
        <c:axId val="34829162"/>
        <c:scaling>
          <c:orientation val="minMax"/>
          <c:max val="2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152609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TG36U!$E$53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TG36U!$E$54:$E$56</c:f>
              <c:numCache>
                <c:ptCount val="3"/>
                <c:pt idx="0">
                  <c:v>10.8</c:v>
                </c:pt>
                <c:pt idx="1">
                  <c:v>2.5</c:v>
                </c:pt>
                <c:pt idx="2">
                  <c:v>2.7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TG36U!$F$53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TG36U!$F$54:$F$56</c:f>
              <c:numCache>
                <c:ptCount val="3"/>
                <c:pt idx="0">
                  <c:v>12.2</c:v>
                </c:pt>
                <c:pt idx="1">
                  <c:v>10.3</c:v>
                </c:pt>
                <c:pt idx="2">
                  <c:v>6.2</c:v>
                </c:pt>
              </c:numCache>
            </c:numRef>
          </c:val>
          <c:shape val="box"/>
        </c:ser>
        <c:overlap val="100"/>
        <c:shape val="box"/>
        <c:axId val="45027003"/>
        <c:axId val="2589844"/>
      </c:bar3DChart>
      <c:catAx>
        <c:axId val="45027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89844"/>
        <c:crosses val="autoZero"/>
        <c:auto val="1"/>
        <c:lblOffset val="100"/>
        <c:noMultiLvlLbl val="0"/>
      </c:catAx>
      <c:valAx>
        <c:axId val="2589844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27003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TG36U!$E$6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TG36U!$E$7:$E$8</c:f>
              <c:numCache>
                <c:ptCount val="2"/>
                <c:pt idx="0">
                  <c:v>11</c:v>
                </c:pt>
                <c:pt idx="1">
                  <c:v>84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TG36U!$F$6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TG36U!$F$7:$F$8</c:f>
              <c:numCache>
                <c:ptCount val="2"/>
                <c:pt idx="0">
                  <c:v>38</c:v>
                </c:pt>
                <c:pt idx="1">
                  <c:v>153</c:v>
                </c:pt>
              </c:numCache>
            </c:numRef>
          </c:val>
          <c:shape val="box"/>
        </c:ser>
        <c:overlap val="100"/>
        <c:shape val="box"/>
        <c:axId val="23308597"/>
        <c:axId val="8450782"/>
      </c:bar3DChart>
      <c:catAx>
        <c:axId val="23308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450782"/>
        <c:crosses val="autoZero"/>
        <c:auto val="1"/>
        <c:lblOffset val="100"/>
        <c:noMultiLvlLbl val="0"/>
      </c:catAx>
      <c:valAx>
        <c:axId val="845078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308597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TG36U!$E$48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TG36U!$E$49:$E$51</c:f>
              <c:numCache>
                <c:ptCount val="3"/>
                <c:pt idx="0">
                  <c:v>15.4</c:v>
                </c:pt>
                <c:pt idx="1">
                  <c:v>3.3</c:v>
                </c:pt>
                <c:pt idx="2">
                  <c:v>2.8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TG36U!$F$48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TG36U!$F$49:$F$51</c:f>
              <c:numCache>
                <c:ptCount val="3"/>
                <c:pt idx="0">
                  <c:v>13.200000000000001</c:v>
                </c:pt>
                <c:pt idx="1">
                  <c:v>16.7</c:v>
                </c:pt>
                <c:pt idx="2">
                  <c:v>6.3999999999999995</c:v>
                </c:pt>
              </c:numCache>
            </c:numRef>
          </c:val>
          <c:shape val="box"/>
        </c:ser>
        <c:overlap val="100"/>
        <c:shape val="box"/>
        <c:axId val="8948175"/>
        <c:axId val="13424712"/>
      </c:bar3DChart>
      <c:catAx>
        <c:axId val="8948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424712"/>
        <c:crosses val="autoZero"/>
        <c:auto val="1"/>
        <c:lblOffset val="100"/>
        <c:noMultiLvlLbl val="0"/>
      </c:catAx>
      <c:valAx>
        <c:axId val="1342471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948175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TD01U!$E$11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TD01U!$E$12:$E$16</c:f>
              <c:numCache>
                <c:ptCount val="5"/>
                <c:pt idx="0">
                  <c:v>336</c:v>
                </c:pt>
                <c:pt idx="1">
                  <c:v>127</c:v>
                </c:pt>
                <c:pt idx="2">
                  <c:v>105</c:v>
                </c:pt>
                <c:pt idx="3">
                  <c:v>53</c:v>
                </c:pt>
                <c:pt idx="4">
                  <c:v>20</c:v>
                </c:pt>
              </c:numCache>
            </c:numRef>
          </c:val>
          <c:shape val="box"/>
        </c:ser>
        <c:shape val="box"/>
        <c:axId val="12019489"/>
        <c:axId val="41066538"/>
      </c:bar3DChart>
      <c:catAx>
        <c:axId val="1201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066538"/>
        <c:crosses val="autoZero"/>
        <c:auto val="1"/>
        <c:lblOffset val="100"/>
        <c:noMultiLvlLbl val="0"/>
      </c:catAx>
      <c:valAx>
        <c:axId val="410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0194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TG36U!$E$11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TG36U!$E$12:$E$16</c:f>
              <c:numCache>
                <c:ptCount val="5"/>
                <c:pt idx="0">
                  <c:v>1724</c:v>
                </c:pt>
                <c:pt idx="1">
                  <c:v>676</c:v>
                </c:pt>
                <c:pt idx="2">
                  <c:v>530</c:v>
                </c:pt>
                <c:pt idx="3">
                  <c:v>324</c:v>
                </c:pt>
                <c:pt idx="4">
                  <c:v>75</c:v>
                </c:pt>
              </c:numCache>
            </c:numRef>
          </c:val>
          <c:shape val="box"/>
        </c:ser>
        <c:shape val="box"/>
        <c:axId val="53713545"/>
        <c:axId val="13659858"/>
      </c:bar3DChart>
      <c:catAx>
        <c:axId val="5371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659858"/>
        <c:crosses val="autoZero"/>
        <c:auto val="1"/>
        <c:lblOffset val="100"/>
        <c:noMultiLvlLbl val="0"/>
      </c:catAx>
      <c:valAx>
        <c:axId val="13659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7135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TG36U!$E$27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TG36U!$E$28:$E$29</c:f>
              <c:numCache>
                <c:ptCount val="2"/>
                <c:pt idx="0">
                  <c:v>19.8</c:v>
                </c:pt>
                <c:pt idx="1">
                  <c:v>4.1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TG36U!$F$27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TG36U!$F$28:$F$29</c:f>
              <c:numCache>
                <c:ptCount val="2"/>
                <c:pt idx="0">
                  <c:v>9.599999999999998</c:v>
                </c:pt>
                <c:pt idx="1">
                  <c:v>8.700000000000001</c:v>
                </c:pt>
              </c:numCache>
            </c:numRef>
          </c:val>
          <c:shape val="box"/>
        </c:ser>
        <c:overlap val="100"/>
        <c:shape val="box"/>
        <c:axId val="55829859"/>
        <c:axId val="32706684"/>
      </c:bar3DChart>
      <c:catAx>
        <c:axId val="55829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706684"/>
        <c:crosses val="autoZero"/>
        <c:auto val="1"/>
        <c:lblOffset val="100"/>
        <c:noMultiLvlLbl val="0"/>
      </c:catAx>
      <c:valAx>
        <c:axId val="3270668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829859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TG36U!$E$32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TG36U!$E$33:$E$34</c:f>
              <c:numCache>
                <c:ptCount val="2"/>
                <c:pt idx="0">
                  <c:v>0.37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TG36U!$F$32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TG36U!$D$33:$D$34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TG36U!$F$33:$F$34</c:f>
              <c:numCache>
                <c:ptCount val="2"/>
                <c:pt idx="0">
                  <c:v>0.62</c:v>
                </c:pt>
                <c:pt idx="1">
                  <c:v>0.14</c:v>
                </c:pt>
              </c:numCache>
            </c:numRef>
          </c:val>
          <c:shape val="box"/>
        </c:ser>
        <c:overlap val="100"/>
        <c:shape val="box"/>
        <c:axId val="25924701"/>
        <c:axId val="31995718"/>
      </c:bar3DChart>
      <c:catAx>
        <c:axId val="25924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995718"/>
        <c:crossesAt val="-0.2"/>
        <c:auto val="1"/>
        <c:lblOffset val="100"/>
        <c:noMultiLvlLbl val="0"/>
      </c:catAx>
      <c:valAx>
        <c:axId val="31995718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92470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TG37U!$E$53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TG37U!$E$54:$E$56</c:f>
              <c:numCache>
                <c:ptCount val="3"/>
                <c:pt idx="0">
                  <c:v>11.2</c:v>
                </c:pt>
                <c:pt idx="1">
                  <c:v>3.7</c:v>
                </c:pt>
                <c:pt idx="2">
                  <c:v>4.7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TG37U!$F$53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TG37U!$F$54:$F$56</c:f>
              <c:numCache>
                <c:ptCount val="3"/>
                <c:pt idx="0">
                  <c:v>9.8</c:v>
                </c:pt>
                <c:pt idx="1">
                  <c:v>8.899999999999999</c:v>
                </c:pt>
                <c:pt idx="2">
                  <c:v>6.3999999999999995</c:v>
                </c:pt>
              </c:numCache>
            </c:numRef>
          </c:val>
          <c:shape val="box"/>
        </c:ser>
        <c:overlap val="100"/>
        <c:shape val="box"/>
        <c:axId val="19526007"/>
        <c:axId val="41516336"/>
      </c:bar3DChart>
      <c:catAx>
        <c:axId val="19526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516336"/>
        <c:crosses val="autoZero"/>
        <c:auto val="1"/>
        <c:lblOffset val="100"/>
        <c:noMultiLvlLbl val="0"/>
      </c:catAx>
      <c:valAx>
        <c:axId val="41516336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526007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TG37U!$E$6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TG37U!$E$7:$E$8</c:f>
              <c:numCache>
                <c:ptCount val="2"/>
                <c:pt idx="0">
                  <c:v>18</c:v>
                </c:pt>
                <c:pt idx="1">
                  <c:v>149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TG37U!$F$6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TG37U!$F$7:$F$8</c:f>
              <c:numCache>
                <c:ptCount val="2"/>
                <c:pt idx="0">
                  <c:v>54</c:v>
                </c:pt>
                <c:pt idx="1">
                  <c:v>258</c:v>
                </c:pt>
              </c:numCache>
            </c:numRef>
          </c:val>
          <c:shape val="box"/>
        </c:ser>
        <c:overlap val="100"/>
        <c:shape val="box"/>
        <c:axId val="38102705"/>
        <c:axId val="7380026"/>
      </c:bar3DChart>
      <c:catAx>
        <c:axId val="38102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380026"/>
        <c:crosses val="autoZero"/>
        <c:auto val="1"/>
        <c:lblOffset val="100"/>
        <c:noMultiLvlLbl val="0"/>
      </c:catAx>
      <c:valAx>
        <c:axId val="7380026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102705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TG37U!$E$48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TG37U!$E$49:$E$51</c:f>
              <c:numCache>
                <c:ptCount val="3"/>
                <c:pt idx="0">
                  <c:v>15</c:v>
                </c:pt>
                <c:pt idx="1">
                  <c:v>4.8</c:v>
                </c:pt>
                <c:pt idx="2">
                  <c:v>4.7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TG37U!$F$48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TG37U!$F$49:$F$51</c:f>
              <c:numCache>
                <c:ptCount val="3"/>
                <c:pt idx="0">
                  <c:v>17.200000000000003</c:v>
                </c:pt>
                <c:pt idx="1">
                  <c:v>13</c:v>
                </c:pt>
                <c:pt idx="2">
                  <c:v>6.3999999999999995</c:v>
                </c:pt>
              </c:numCache>
            </c:numRef>
          </c:val>
          <c:shape val="box"/>
        </c:ser>
        <c:overlap val="100"/>
        <c:shape val="box"/>
        <c:axId val="66420235"/>
        <c:axId val="60911204"/>
      </c:bar3DChart>
      <c:catAx>
        <c:axId val="66420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911204"/>
        <c:crosses val="autoZero"/>
        <c:auto val="1"/>
        <c:lblOffset val="100"/>
        <c:noMultiLvlLbl val="0"/>
      </c:catAx>
      <c:valAx>
        <c:axId val="60911204"/>
        <c:scaling>
          <c:orientation val="minMax"/>
          <c:max val="3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420235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TG37U!$E$11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TG37U!$E$12:$E$16</c:f>
              <c:numCache>
                <c:ptCount val="5"/>
                <c:pt idx="0">
                  <c:v>2635</c:v>
                </c:pt>
                <c:pt idx="1">
                  <c:v>840</c:v>
                </c:pt>
                <c:pt idx="2">
                  <c:v>547</c:v>
                </c:pt>
                <c:pt idx="3">
                  <c:v>193</c:v>
                </c:pt>
                <c:pt idx="4">
                  <c:v>33</c:v>
                </c:pt>
              </c:numCache>
            </c:numRef>
          </c:val>
          <c:shape val="box"/>
        </c:ser>
        <c:shape val="box"/>
        <c:axId val="11329925"/>
        <c:axId val="34860462"/>
      </c:bar3DChart>
      <c:catAx>
        <c:axId val="113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860462"/>
        <c:crosses val="autoZero"/>
        <c:auto val="1"/>
        <c:lblOffset val="100"/>
        <c:noMultiLvlLbl val="0"/>
      </c:catAx>
      <c:valAx>
        <c:axId val="3486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3299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TG37U!$E$27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TG37U!$E$28:$E$29</c:f>
              <c:numCache>
                <c:ptCount val="2"/>
                <c:pt idx="0">
                  <c:v>17.6</c:v>
                </c:pt>
                <c:pt idx="1">
                  <c:v>2.8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TG37U!$F$27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TG37U!$F$28:$F$29</c:f>
              <c:numCache>
                <c:ptCount val="2"/>
                <c:pt idx="0">
                  <c:v>9.399999999999999</c:v>
                </c:pt>
                <c:pt idx="1">
                  <c:v>8.2</c:v>
                </c:pt>
              </c:numCache>
            </c:numRef>
          </c:val>
          <c:shape val="box"/>
        </c:ser>
        <c:overlap val="100"/>
        <c:shape val="box"/>
        <c:axId val="45308703"/>
        <c:axId val="5125144"/>
      </c:bar3DChart>
      <c:catAx>
        <c:axId val="45308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25144"/>
        <c:crosses val="autoZero"/>
        <c:auto val="1"/>
        <c:lblOffset val="100"/>
        <c:noMultiLvlLbl val="0"/>
      </c:catAx>
      <c:valAx>
        <c:axId val="512514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308703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TG37U!$E$32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TG37U!$E$33:$E$34</c:f>
              <c:numCache>
                <c:ptCount val="2"/>
                <c:pt idx="0">
                  <c:v>0.44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TG37U!$F$32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TG37U!$D$33:$D$34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TG37U!$F$33:$F$34</c:f>
              <c:numCache>
                <c:ptCount val="2"/>
                <c:pt idx="0">
                  <c:v>0.8900000000000001</c:v>
                </c:pt>
                <c:pt idx="1">
                  <c:v>0.17</c:v>
                </c:pt>
              </c:numCache>
            </c:numRef>
          </c:val>
          <c:shape val="box"/>
        </c:ser>
        <c:overlap val="100"/>
        <c:shape val="box"/>
        <c:axId val="46126297"/>
        <c:axId val="12483490"/>
      </c:bar3DChart>
      <c:catAx>
        <c:axId val="46126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483490"/>
        <c:crossesAt val="-0.2"/>
        <c:auto val="1"/>
        <c:lblOffset val="100"/>
        <c:noMultiLvlLbl val="0"/>
      </c:catAx>
      <c:valAx>
        <c:axId val="12483490"/>
        <c:scaling>
          <c:orientation val="minMax"/>
          <c:max val="1.4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126297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TG67U!$E$53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TG67U!$E$54:$E$56</c:f>
              <c:numCache>
                <c:ptCount val="3"/>
                <c:pt idx="0">
                  <c:v>9.7</c:v>
                </c:pt>
                <c:pt idx="1">
                  <c:v>2.3</c:v>
                </c:pt>
                <c:pt idx="2">
                  <c:v>2.3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TG67U!$F$53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TG67U!$F$54:$F$56</c:f>
              <c:numCache>
                <c:ptCount val="3"/>
                <c:pt idx="0">
                  <c:v>7.199999999999999</c:v>
                </c:pt>
                <c:pt idx="1">
                  <c:v>7.1000000000000005</c:v>
                </c:pt>
                <c:pt idx="2">
                  <c:v>5.8</c:v>
                </c:pt>
              </c:numCache>
            </c:numRef>
          </c:val>
          <c:shape val="box"/>
        </c:ser>
        <c:overlap val="100"/>
        <c:shape val="box"/>
        <c:axId val="45242547"/>
        <c:axId val="4529740"/>
      </c:bar3DChart>
      <c:catAx>
        <c:axId val="45242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29740"/>
        <c:crosses val="autoZero"/>
        <c:auto val="1"/>
        <c:lblOffset val="100"/>
        <c:noMultiLvlLbl val="0"/>
      </c:catAx>
      <c:valAx>
        <c:axId val="4529740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242547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TD01U!$E$27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TD01U!$E$28:$E$29</c:f>
              <c:numCache>
                <c:ptCount val="2"/>
                <c:pt idx="0">
                  <c:v>19.2</c:v>
                </c:pt>
                <c:pt idx="1">
                  <c:v>4.8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TD01U!$F$27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TD01U!$F$28:$F$29</c:f>
              <c:numCach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  <c:shape val="box"/>
        </c:ser>
        <c:overlap val="100"/>
        <c:shape val="box"/>
        <c:axId val="34054523"/>
        <c:axId val="38055252"/>
      </c:bar3DChart>
      <c:catAx>
        <c:axId val="34054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055252"/>
        <c:crosses val="autoZero"/>
        <c:auto val="1"/>
        <c:lblOffset val="100"/>
        <c:noMultiLvlLbl val="0"/>
      </c:catAx>
      <c:valAx>
        <c:axId val="3805525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054523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TG67U!$E$6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TG67U!$E$7:$E$8</c:f>
              <c:numCache>
                <c:ptCount val="2"/>
                <c:pt idx="0">
                  <c:v>0</c:v>
                </c:pt>
                <c:pt idx="1">
                  <c:v>338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TG67U!$F$6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TG67U!$F$7:$F$8</c:f>
              <c:numCache>
                <c:ptCount val="2"/>
                <c:pt idx="0">
                  <c:v>83</c:v>
                </c:pt>
                <c:pt idx="1">
                  <c:v>812</c:v>
                </c:pt>
              </c:numCache>
            </c:numRef>
          </c:val>
          <c:shape val="box"/>
        </c:ser>
        <c:overlap val="100"/>
        <c:shape val="box"/>
        <c:axId val="40767661"/>
        <c:axId val="31364630"/>
      </c:bar3DChart>
      <c:catAx>
        <c:axId val="40767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364630"/>
        <c:crosses val="autoZero"/>
        <c:auto val="1"/>
        <c:lblOffset val="100"/>
        <c:noMultiLvlLbl val="0"/>
      </c:catAx>
      <c:valAx>
        <c:axId val="31364630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767661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TG67U!$E$48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TG67U!$E$49:$E$51</c:f>
              <c:numCache>
                <c:ptCount val="3"/>
                <c:pt idx="0">
                  <c:v>12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TG67U!$F$48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TG67U!$F$49:$F$51</c:f>
              <c:numCache>
                <c:ptCount val="3"/>
                <c:pt idx="0">
                  <c:v>11.34</c:v>
                </c:pt>
                <c:pt idx="1">
                  <c:v>7.779999999999999</c:v>
                </c:pt>
                <c:pt idx="2">
                  <c:v>6.130000000000001</c:v>
                </c:pt>
              </c:numCache>
            </c:numRef>
          </c:val>
          <c:shape val="box"/>
        </c:ser>
        <c:overlap val="100"/>
        <c:shape val="box"/>
        <c:axId val="13846215"/>
        <c:axId val="57507072"/>
      </c:bar3DChart>
      <c:catAx>
        <c:axId val="13846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507072"/>
        <c:crosses val="autoZero"/>
        <c:auto val="1"/>
        <c:lblOffset val="100"/>
        <c:noMultiLvlLbl val="0"/>
      </c:catAx>
      <c:valAx>
        <c:axId val="57507072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846215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TG67U!$E$11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TG67U!$E$12:$E$16</c:f>
              <c:numCache>
                <c:ptCount val="5"/>
                <c:pt idx="0">
                  <c:v>461</c:v>
                </c:pt>
                <c:pt idx="1">
                  <c:v>43</c:v>
                </c:pt>
                <c:pt idx="2">
                  <c:v>26</c:v>
                </c:pt>
                <c:pt idx="3">
                  <c:v>10</c:v>
                </c:pt>
                <c:pt idx="4">
                  <c:v>15</c:v>
                </c:pt>
              </c:numCache>
            </c:numRef>
          </c:val>
          <c:shape val="box"/>
        </c:ser>
        <c:shape val="box"/>
        <c:axId val="47801601"/>
        <c:axId val="27561226"/>
      </c:bar3DChart>
      <c:catAx>
        <c:axId val="4780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561226"/>
        <c:crosses val="autoZero"/>
        <c:auto val="1"/>
        <c:lblOffset val="100"/>
        <c:noMultiLvlLbl val="0"/>
      </c:catAx>
      <c:valAx>
        <c:axId val="275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8016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TG67U!$E$27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TG67U!$E$28:$E$29</c:f>
              <c:numCache>
                <c:ptCount val="2"/>
                <c:pt idx="0">
                  <c:v>14.3</c:v>
                </c:pt>
                <c:pt idx="1">
                  <c:v>2.1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TG67U!$F$27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TG67U!$F$28:$F$29</c:f>
              <c:numCache>
                <c:ptCount val="2"/>
                <c:pt idx="0">
                  <c:v>7.699999999999999</c:v>
                </c:pt>
                <c:pt idx="1">
                  <c:v>6.4</c:v>
                </c:pt>
              </c:numCache>
            </c:numRef>
          </c:val>
          <c:shape val="box"/>
        </c:ser>
        <c:overlap val="100"/>
        <c:shape val="box"/>
        <c:axId val="46724443"/>
        <c:axId val="17866804"/>
      </c:bar3DChart>
      <c:catAx>
        <c:axId val="46724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866804"/>
        <c:crosses val="autoZero"/>
        <c:auto val="1"/>
        <c:lblOffset val="100"/>
        <c:noMultiLvlLbl val="0"/>
      </c:catAx>
      <c:valAx>
        <c:axId val="17866804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72444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TG67U!$E$32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TG67U!$E$33:$E$34</c:f>
              <c:numCache>
                <c:ptCount val="2"/>
                <c:pt idx="0">
                  <c:v>0.36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TG67U!$F$32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TG67U!$D$33:$D$34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TG67U!$F$33:$F$34</c:f>
              <c:numCache>
                <c:ptCount val="2"/>
                <c:pt idx="0">
                  <c:v>0.5700000000000001</c:v>
                </c:pt>
                <c:pt idx="1">
                  <c:v>0.12</c:v>
                </c:pt>
              </c:numCache>
            </c:numRef>
          </c:val>
          <c:shape val="box"/>
        </c:ser>
        <c:overlap val="100"/>
        <c:shape val="box"/>
        <c:axId val="26583509"/>
        <c:axId val="37924990"/>
      </c:bar3DChart>
      <c:catAx>
        <c:axId val="26583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924990"/>
        <c:crossesAt val="-0.2"/>
        <c:auto val="1"/>
        <c:lblOffset val="100"/>
        <c:noMultiLvlLbl val="0"/>
      </c:catAx>
      <c:valAx>
        <c:axId val="37924990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58350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TG72A!$E$53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TG72A!$D$54:$D$56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TG72A!$E$54:$E$56</c:f>
              <c:numCache>
                <c:ptCount val="3"/>
                <c:pt idx="0">
                  <c:v>12.1</c:v>
                </c:pt>
                <c:pt idx="1">
                  <c:v>8.4</c:v>
                </c:pt>
                <c:pt idx="2">
                  <c:v>2.8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TG72A!$F$53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TG72A!$D$54:$D$56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TG72A!$F$54:$F$56</c:f>
              <c:numCache>
                <c:ptCount val="3"/>
                <c:pt idx="0">
                  <c:v>4.200000000000001</c:v>
                </c:pt>
                <c:pt idx="1">
                  <c:v>4.299999999999999</c:v>
                </c:pt>
                <c:pt idx="2">
                  <c:v>5.3999999999999995</c:v>
                </c:pt>
              </c:numCache>
            </c:numRef>
          </c:val>
          <c:shape val="box"/>
        </c:ser>
        <c:overlap val="100"/>
        <c:shape val="box"/>
        <c:axId val="5780591"/>
        <c:axId val="52025320"/>
      </c:bar3DChart>
      <c:catAx>
        <c:axId val="5780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025320"/>
        <c:crosses val="autoZero"/>
        <c:auto val="1"/>
        <c:lblOffset val="100"/>
        <c:noMultiLvlLbl val="0"/>
      </c:catAx>
      <c:valAx>
        <c:axId val="52025320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80591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TG72A!$E$48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TG72A!$D$49:$D$51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TG72A!$E$49:$E$51</c:f>
              <c:numCache>
                <c:ptCount val="3"/>
                <c:pt idx="0">
                  <c:v>12.2</c:v>
                </c:pt>
                <c:pt idx="1">
                  <c:v>8.7</c:v>
                </c:pt>
                <c:pt idx="2">
                  <c:v>2.8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TG72A!$F$48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TG72A!$D$49:$D$51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TG72A!$F$49:$F$51</c:f>
              <c:numCache>
                <c:ptCount val="3"/>
                <c:pt idx="0">
                  <c:v>4.199999999999999</c:v>
                </c:pt>
                <c:pt idx="1">
                  <c:v>4.300000000000001</c:v>
                </c:pt>
                <c:pt idx="2">
                  <c:v>5.500000000000001</c:v>
                </c:pt>
              </c:numCache>
            </c:numRef>
          </c:val>
          <c:shape val="box"/>
        </c:ser>
        <c:overlap val="100"/>
        <c:shape val="box"/>
        <c:axId val="65574697"/>
        <c:axId val="53301362"/>
      </c:bar3DChart>
      <c:catAx>
        <c:axId val="65574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301362"/>
        <c:crosses val="autoZero"/>
        <c:auto val="1"/>
        <c:lblOffset val="100"/>
        <c:noMultiLvlLbl val="0"/>
      </c:catAx>
      <c:valAx>
        <c:axId val="53301362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574697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TG72A!$E$11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TG72A!$D$12:$D$16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TG72A!$E$12:$E$16</c:f>
              <c:numCache>
                <c:ptCount val="5"/>
                <c:pt idx="0">
                  <c:v>93</c:v>
                </c:pt>
                <c:pt idx="1">
                  <c:v>30</c:v>
                </c:pt>
                <c:pt idx="2">
                  <c:v>13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9950211"/>
        <c:axId val="22443036"/>
      </c:bar3DChart>
      <c:catAx>
        <c:axId val="9950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43036"/>
        <c:crosses val="autoZero"/>
        <c:auto val="1"/>
        <c:lblOffset val="100"/>
        <c:noMultiLvlLbl val="0"/>
      </c:catAx>
      <c:valAx>
        <c:axId val="2244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502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TG72A!$E$27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TG72A!$D$28:$D$29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TG72A!$E$28:$E$29</c:f>
              <c:numCache>
                <c:ptCount val="2"/>
                <c:pt idx="0">
                  <c:v>16.6</c:v>
                </c:pt>
                <c:pt idx="1">
                  <c:v>10.2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TG72A!$F$27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TG72A!$D$28:$D$29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TG72A!$F$28:$F$29</c:f>
              <c:numCache>
                <c:ptCount val="2"/>
                <c:pt idx="0">
                  <c:v>3.799999999999997</c:v>
                </c:pt>
                <c:pt idx="1">
                  <c:v>4.200000000000001</c:v>
                </c:pt>
              </c:numCache>
            </c:numRef>
          </c:val>
          <c:shape val="box"/>
        </c:ser>
        <c:overlap val="100"/>
        <c:shape val="box"/>
        <c:axId val="660733"/>
        <c:axId val="5946598"/>
      </c:bar3DChart>
      <c:catAx>
        <c:axId val="660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46598"/>
        <c:crosses val="autoZero"/>
        <c:auto val="1"/>
        <c:lblOffset val="100"/>
        <c:noMultiLvlLbl val="0"/>
      </c:catAx>
      <c:valAx>
        <c:axId val="5946598"/>
        <c:scaling>
          <c:orientation val="minMax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733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TG72A!$E$32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TG72A!$D$33:$D$34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TG72A!$E$33:$E$34</c:f>
              <c:numCache>
                <c:ptCount val="2"/>
                <c:pt idx="0">
                  <c:v>0.82</c:v>
                </c:pt>
                <c:pt idx="1">
                  <c:v>0.05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TG72A!$F$32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TG72A!$D$33:$D$34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TG72A!$F$33:$F$34</c:f>
              <c:numCache>
                <c:ptCount val="2"/>
                <c:pt idx="0">
                  <c:v>0.38</c:v>
                </c:pt>
                <c:pt idx="1">
                  <c:v>0.2</c:v>
                </c:pt>
              </c:numCache>
            </c:numRef>
          </c:val>
          <c:shape val="box"/>
        </c:ser>
        <c:overlap val="100"/>
        <c:shape val="box"/>
        <c:axId val="53519383"/>
        <c:axId val="11912400"/>
      </c:bar3DChart>
      <c:catAx>
        <c:axId val="53519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912400"/>
        <c:crossesAt val="-0.2"/>
        <c:auto val="1"/>
        <c:lblOffset val="100"/>
        <c:noMultiLvlLbl val="0"/>
      </c:catAx>
      <c:valAx>
        <c:axId val="11912400"/>
        <c:scaling>
          <c:orientation val="minMax"/>
          <c:max val="1.4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519383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229"/>
          <c:w val="0.941"/>
          <c:h val="0.771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TD01U!$E$32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TD01U!$E$33:$E$34</c:f>
              <c:numCache>
                <c:ptCount val="2"/>
                <c:pt idx="0">
                  <c:v>0.28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TD01U!$F$32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TD01U!$D$33:$D$34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TD01U!$F$33:$F$34</c:f>
              <c:numCache>
                <c:ptCount val="2"/>
                <c:pt idx="0">
                  <c:v>0.43999999999999995</c:v>
                </c:pt>
                <c:pt idx="1">
                  <c:v>0.11</c:v>
                </c:pt>
              </c:numCache>
            </c:numRef>
          </c:val>
          <c:shape val="box"/>
        </c:ser>
        <c:overlap val="100"/>
        <c:shape val="box"/>
        <c:axId val="6952949"/>
        <c:axId val="62576542"/>
      </c:bar3DChart>
      <c:catAx>
        <c:axId val="6952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576542"/>
        <c:crossesAt val="-0.2"/>
        <c:auto val="1"/>
        <c:lblOffset val="100"/>
        <c:noMultiLvlLbl val="0"/>
      </c:catAx>
      <c:valAx>
        <c:axId val="62576542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95294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TM02U!$E$53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TM02U!$E$54:$E$56</c:f>
              <c:numCache>
                <c:ptCount val="3"/>
                <c:pt idx="0">
                  <c:v>12.2</c:v>
                </c:pt>
                <c:pt idx="1">
                  <c:v>5</c:v>
                </c:pt>
                <c:pt idx="2">
                  <c:v>3.5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TM02U!$F$53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TM02U!$F$54:$F$56</c:f>
              <c:numCache>
                <c:ptCount val="3"/>
                <c:pt idx="0">
                  <c:v>7.199999999999999</c:v>
                </c:pt>
                <c:pt idx="1">
                  <c:v>6.6</c:v>
                </c:pt>
                <c:pt idx="2">
                  <c:v>6.800000000000001</c:v>
                </c:pt>
              </c:numCache>
            </c:numRef>
          </c:val>
          <c:shape val="box"/>
        </c:ser>
        <c:overlap val="100"/>
        <c:shape val="box"/>
        <c:axId val="40102737"/>
        <c:axId val="25380314"/>
      </c:bar3DChart>
      <c:catAx>
        <c:axId val="40102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80314"/>
        <c:crosses val="autoZero"/>
        <c:auto val="1"/>
        <c:lblOffset val="100"/>
        <c:noMultiLvlLbl val="0"/>
      </c:catAx>
      <c:valAx>
        <c:axId val="2538031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102737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TM02U!$E$6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TM02U!$E$7:$E$8</c:f>
              <c:numCache>
                <c:ptCount val="2"/>
                <c:pt idx="0">
                  <c:v>5</c:v>
                </c:pt>
                <c:pt idx="1">
                  <c:v>73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TM02U!$F$6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TM02U!$F$7:$F$8</c:f>
              <c:numCache>
                <c:ptCount val="2"/>
                <c:pt idx="0">
                  <c:v>18</c:v>
                </c:pt>
                <c:pt idx="1">
                  <c:v>126</c:v>
                </c:pt>
              </c:numCache>
            </c:numRef>
          </c:val>
          <c:shape val="box"/>
        </c:ser>
        <c:overlap val="100"/>
        <c:shape val="box"/>
        <c:axId val="27096235"/>
        <c:axId val="42539524"/>
      </c:bar3DChart>
      <c:catAx>
        <c:axId val="27096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539524"/>
        <c:crosses val="autoZero"/>
        <c:auto val="1"/>
        <c:lblOffset val="100"/>
        <c:noMultiLvlLbl val="0"/>
      </c:catAx>
      <c:valAx>
        <c:axId val="4253952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096235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TM02U!$E$48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TM02U!$E$49:$E$51</c:f>
              <c:numCache>
                <c:ptCount val="3"/>
                <c:pt idx="0">
                  <c:v>14.2</c:v>
                </c:pt>
                <c:pt idx="1">
                  <c:v>5.8</c:v>
                </c:pt>
                <c:pt idx="2">
                  <c:v>3.6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TM02U!$F$48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TM02U!$F$49:$F$51</c:f>
              <c:numCache>
                <c:ptCount val="3"/>
                <c:pt idx="0">
                  <c:v>14.8</c:v>
                </c:pt>
                <c:pt idx="1">
                  <c:v>9.7</c:v>
                </c:pt>
                <c:pt idx="2">
                  <c:v>6.9</c:v>
                </c:pt>
              </c:numCache>
            </c:numRef>
          </c:val>
          <c:shape val="box"/>
        </c:ser>
        <c:overlap val="100"/>
        <c:shape val="box"/>
        <c:axId val="47311397"/>
        <c:axId val="23149390"/>
      </c:bar3DChart>
      <c:catAx>
        <c:axId val="47311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49390"/>
        <c:crosses val="autoZero"/>
        <c:auto val="1"/>
        <c:lblOffset val="100"/>
        <c:noMultiLvlLbl val="0"/>
      </c:catAx>
      <c:valAx>
        <c:axId val="2314939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311397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TM02U!$E$11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TM02U!$E$12:$E$16</c:f>
              <c:numCache>
                <c:ptCount val="5"/>
                <c:pt idx="0">
                  <c:v>994</c:v>
                </c:pt>
                <c:pt idx="1">
                  <c:v>119</c:v>
                </c:pt>
                <c:pt idx="2">
                  <c:v>48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hape val="box"/>
        </c:ser>
        <c:shape val="box"/>
        <c:axId val="7017919"/>
        <c:axId val="63161272"/>
      </c:bar3DChart>
      <c:catAx>
        <c:axId val="70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161272"/>
        <c:crosses val="autoZero"/>
        <c:auto val="1"/>
        <c:lblOffset val="100"/>
        <c:noMultiLvlLbl val="0"/>
      </c:catAx>
      <c:valAx>
        <c:axId val="6316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0179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TM02U!$E$27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TM02U!$E$28:$E$29</c:f>
              <c:numCache>
                <c:ptCount val="2"/>
                <c:pt idx="0">
                  <c:v>16.4</c:v>
                </c:pt>
                <c:pt idx="1">
                  <c:v>2.9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TM02U!$F$27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TM02U!$F$28:$F$29</c:f>
              <c:numCache>
                <c:ptCount val="2"/>
                <c:pt idx="0">
                  <c:v>7.900000000000002</c:v>
                </c:pt>
                <c:pt idx="1">
                  <c:v>7.799999999999999</c:v>
                </c:pt>
              </c:numCache>
            </c:numRef>
          </c:val>
          <c:shape val="box"/>
        </c:ser>
        <c:overlap val="100"/>
        <c:shape val="box"/>
        <c:axId val="31580537"/>
        <c:axId val="15789378"/>
      </c:bar3DChart>
      <c:catAx>
        <c:axId val="31580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789378"/>
        <c:crosses val="autoZero"/>
        <c:auto val="1"/>
        <c:lblOffset val="100"/>
        <c:noMultiLvlLbl val="0"/>
      </c:catAx>
      <c:valAx>
        <c:axId val="15789378"/>
        <c:scaling>
          <c:orientation val="minMax"/>
          <c:max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580537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TM02U!$E$32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TM02U!$E$33:$E$34</c:f>
              <c:numCache>
                <c:ptCount val="2"/>
                <c:pt idx="0">
                  <c:v>0.47</c:v>
                </c:pt>
                <c:pt idx="1">
                  <c:v>0.02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TM02U!$F$32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TM02U!$D$33:$D$34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TM02U!$F$33:$F$34</c:f>
              <c:numCache>
                <c:ptCount val="2"/>
                <c:pt idx="0">
                  <c:v>0.8200000000000001</c:v>
                </c:pt>
                <c:pt idx="1">
                  <c:v>0.16</c:v>
                </c:pt>
              </c:numCache>
            </c:numRef>
          </c:val>
          <c:shape val="box"/>
        </c:ser>
        <c:overlap val="100"/>
        <c:shape val="box"/>
        <c:axId val="7886675"/>
        <c:axId val="3871212"/>
      </c:bar3DChart>
      <c:catAx>
        <c:axId val="7886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71212"/>
        <c:crossesAt val="-0.2"/>
        <c:auto val="1"/>
        <c:lblOffset val="100"/>
        <c:noMultiLvlLbl val="0"/>
      </c:catAx>
      <c:valAx>
        <c:axId val="3871212"/>
        <c:scaling>
          <c:orientation val="minMax"/>
          <c:max val="1.4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886675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TM03A!$E$53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TM03A!$E$54:$E$56</c:f>
              <c:numCache>
                <c:ptCount val="3"/>
                <c:pt idx="0">
                  <c:v>11.4</c:v>
                </c:pt>
                <c:pt idx="1">
                  <c:v>5.7</c:v>
                </c:pt>
                <c:pt idx="2">
                  <c:v>5.3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TM03A!$F$53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TM03A!$F$54:$F$56</c:f>
              <c:numCache>
                <c:ptCount val="3"/>
                <c:pt idx="0">
                  <c:v>6.499999999999998</c:v>
                </c:pt>
                <c:pt idx="1">
                  <c:v>6.3</c:v>
                </c:pt>
                <c:pt idx="2">
                  <c:v>5.8999999999999995</c:v>
                </c:pt>
              </c:numCache>
            </c:numRef>
          </c:val>
          <c:shape val="box"/>
        </c:ser>
        <c:overlap val="100"/>
        <c:shape val="box"/>
        <c:axId val="34840909"/>
        <c:axId val="45132726"/>
      </c:bar3DChart>
      <c:catAx>
        <c:axId val="34840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32726"/>
        <c:crosses val="autoZero"/>
        <c:auto val="1"/>
        <c:lblOffset val="100"/>
        <c:noMultiLvlLbl val="0"/>
      </c:catAx>
      <c:valAx>
        <c:axId val="4513272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840909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TM03A!$E$6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TM03A!$E$7:$E$8</c:f>
              <c:numCache>
                <c:ptCount val="2"/>
                <c:pt idx="0">
                  <c:v>4</c:v>
                </c:pt>
                <c:pt idx="1">
                  <c:v>70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TM03A!$F$6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TM03A!$F$7:$F$8</c:f>
              <c:numCache>
                <c:ptCount val="2"/>
                <c:pt idx="0">
                  <c:v>38</c:v>
                </c:pt>
                <c:pt idx="1">
                  <c:v>228</c:v>
                </c:pt>
              </c:numCache>
            </c:numRef>
          </c:val>
          <c:shape val="box"/>
        </c:ser>
        <c:overlap val="100"/>
        <c:shape val="box"/>
        <c:axId val="3541351"/>
        <c:axId val="31872160"/>
      </c:bar3DChart>
      <c:catAx>
        <c:axId val="3541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872160"/>
        <c:crosses val="autoZero"/>
        <c:auto val="1"/>
        <c:lblOffset val="100"/>
        <c:noMultiLvlLbl val="0"/>
      </c:catAx>
      <c:valAx>
        <c:axId val="3187216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41351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TM03A!$E$48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TM03A!$E$49:$E$51</c:f>
              <c:numCache>
                <c:ptCount val="3"/>
                <c:pt idx="0">
                  <c:v>13.5</c:v>
                </c:pt>
                <c:pt idx="1">
                  <c:v>6.7</c:v>
                </c:pt>
                <c:pt idx="2">
                  <c:v>5.4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TM03A!$F$48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TM03A!$F$49:$F$51</c:f>
              <c:numCache>
                <c:ptCount val="3"/>
                <c:pt idx="0">
                  <c:v>13.2</c:v>
                </c:pt>
                <c:pt idx="1">
                  <c:v>9.900000000000002</c:v>
                </c:pt>
                <c:pt idx="2">
                  <c:v>5.9</c:v>
                </c:pt>
              </c:numCache>
            </c:numRef>
          </c:val>
          <c:shape val="box"/>
        </c:ser>
        <c:overlap val="100"/>
        <c:shape val="box"/>
        <c:axId val="18413985"/>
        <c:axId val="31508138"/>
      </c:bar3DChart>
      <c:catAx>
        <c:axId val="18413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508138"/>
        <c:crosses val="autoZero"/>
        <c:auto val="1"/>
        <c:lblOffset val="100"/>
        <c:noMultiLvlLbl val="0"/>
      </c:catAx>
      <c:valAx>
        <c:axId val="3150813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413985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TM03A!$E$27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TM03A!$E$28:$E$29</c:f>
              <c:numCache>
                <c:ptCount val="2"/>
                <c:pt idx="0">
                  <c:v>15.8</c:v>
                </c:pt>
                <c:pt idx="1">
                  <c:v>3.5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TM03A!$F$27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TM03A!$F$28:$F$29</c:f>
              <c:numCache>
                <c:ptCount val="2"/>
                <c:pt idx="0">
                  <c:v>7.699999999999999</c:v>
                </c:pt>
                <c:pt idx="1">
                  <c:v>7.300000000000001</c:v>
                </c:pt>
              </c:numCache>
            </c:numRef>
          </c:val>
          <c:shape val="box"/>
        </c:ser>
        <c:overlap val="100"/>
        <c:shape val="box"/>
        <c:axId val="15137787"/>
        <c:axId val="2022356"/>
      </c:bar3DChart>
      <c:catAx>
        <c:axId val="15137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22356"/>
        <c:crosses val="autoZero"/>
        <c:auto val="1"/>
        <c:lblOffset val="100"/>
        <c:noMultiLvlLbl val="0"/>
      </c:catAx>
      <c:valAx>
        <c:axId val="2022356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137787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TD09A!$E$53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TD09A!$E$54:$E$56</c:f>
              <c:numCache>
                <c:ptCount val="3"/>
                <c:pt idx="0">
                  <c:v>14.2</c:v>
                </c:pt>
                <c:pt idx="1">
                  <c:v>5.5</c:v>
                </c:pt>
                <c:pt idx="2">
                  <c:v>2.7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TD09A!$F$53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TD09A!$F$54:$F$56</c:f>
              <c:numCache>
                <c:ptCount val="3"/>
                <c:pt idx="0">
                  <c:v>13.3</c:v>
                </c:pt>
                <c:pt idx="1">
                  <c:v>9.3</c:v>
                </c:pt>
                <c:pt idx="2">
                  <c:v>8.8</c:v>
                </c:pt>
              </c:numCache>
            </c:numRef>
          </c:val>
          <c:shape val="box"/>
        </c:ser>
        <c:overlap val="100"/>
        <c:shape val="box"/>
        <c:axId val="26317967"/>
        <c:axId val="35535112"/>
      </c:bar3DChart>
      <c:catAx>
        <c:axId val="26317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535112"/>
        <c:crosses val="autoZero"/>
        <c:auto val="1"/>
        <c:lblOffset val="100"/>
        <c:noMultiLvlLbl val="0"/>
      </c:catAx>
      <c:valAx>
        <c:axId val="3553511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317967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TM03A!$E$32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TM03A!$E$33:$E$34</c:f>
              <c:numCache>
                <c:ptCount val="2"/>
                <c:pt idx="0">
                  <c:v>0.4</c:v>
                </c:pt>
                <c:pt idx="1">
                  <c:v>0.06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TM03A!$F$32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TM03A!$D$33:$D$34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TM03A!$F$33:$F$34</c:f>
              <c:numCache>
                <c:ptCount val="2"/>
                <c:pt idx="0">
                  <c:v>0.64</c:v>
                </c:pt>
                <c:pt idx="1">
                  <c:v>0.11</c:v>
                </c:pt>
              </c:numCache>
            </c:numRef>
          </c:val>
          <c:shape val="box"/>
        </c:ser>
        <c:overlap val="100"/>
        <c:shape val="box"/>
        <c:axId val="18201205"/>
        <c:axId val="29593118"/>
      </c:bar3DChart>
      <c:catAx>
        <c:axId val="18201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593118"/>
        <c:crossesAt val="-0.2"/>
        <c:auto val="1"/>
        <c:lblOffset val="100"/>
        <c:noMultiLvlLbl val="0"/>
      </c:catAx>
      <c:valAx>
        <c:axId val="29593118"/>
        <c:scaling>
          <c:orientation val="minMax"/>
          <c:max val="1.4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201205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PER ADDETTO INDIPENDENTE 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125"/>
          <c:w val="0.94475"/>
          <c:h val="0.855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TM05U!$E$53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TM05U!$E$54:$E$56</c:f>
              <c:numCache>
                <c:ptCount val="3"/>
                <c:pt idx="0">
                  <c:v>12.3</c:v>
                </c:pt>
                <c:pt idx="1">
                  <c:v>1.3</c:v>
                </c:pt>
                <c:pt idx="2">
                  <c:v>1.6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TM05U!$F$53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TM05U!$D$54:$D$56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TM05U!$F$54:$F$56</c:f>
              <c:numCache>
                <c:ptCount val="3"/>
                <c:pt idx="0">
                  <c:v>13.8</c:v>
                </c:pt>
                <c:pt idx="1">
                  <c:v>10</c:v>
                </c:pt>
                <c:pt idx="2">
                  <c:v>6.6</c:v>
                </c:pt>
              </c:numCache>
            </c:numRef>
          </c:val>
          <c:shape val="box"/>
        </c:ser>
        <c:overlap val="100"/>
        <c:shape val="box"/>
        <c:axId val="65011471"/>
        <c:axId val="48232328"/>
      </c:bar3DChart>
      <c:catAx>
        <c:axId val="65011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232328"/>
        <c:crosses val="autoZero"/>
        <c:auto val="1"/>
        <c:lblOffset val="100"/>
        <c:noMultiLvlLbl val="0"/>
      </c:catAx>
      <c:valAx>
        <c:axId val="48232328"/>
        <c:scaling>
          <c:orientation val="minMax"/>
          <c:max val="2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011471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E7B7B"/>
        </a:gs>
        <a:gs pos="50000">
          <a:srgbClr val="33CCCC"/>
        </a:gs>
        <a:gs pos="100000">
          <a:srgbClr val="1E7B7B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TM05U!$E$6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TM05U!$E$7:$E$8</c:f>
              <c:numCache>
                <c:ptCount val="2"/>
                <c:pt idx="0">
                  <c:v>112</c:v>
                </c:pt>
                <c:pt idx="1">
                  <c:v>714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TM05U!$F$6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TM05U!$F$7:$F$8</c:f>
              <c:numCache>
                <c:ptCount val="2"/>
                <c:pt idx="0">
                  <c:v>250</c:v>
                </c:pt>
                <c:pt idx="1">
                  <c:v>751</c:v>
                </c:pt>
              </c:numCache>
            </c:numRef>
          </c:val>
          <c:shape val="box"/>
        </c:ser>
        <c:overlap val="100"/>
        <c:shape val="box"/>
        <c:axId val="31437769"/>
        <c:axId val="14504466"/>
      </c:bar3DChart>
      <c:catAx>
        <c:axId val="3143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504466"/>
        <c:crosses val="autoZero"/>
        <c:auto val="1"/>
        <c:lblOffset val="100"/>
        <c:noMultiLvlLbl val="0"/>
      </c:catAx>
      <c:valAx>
        <c:axId val="14504466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437769"/>
        <c:crossesAt val="1"/>
        <c:crossBetween val="between"/>
        <c:dispUnits/>
        <c:majorUnit val="200"/>
        <c:minorUnit val="25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TM05U!$E$48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TM05U!$E$49:$E$51</c:f>
              <c:numCache>
                <c:ptCount val="3"/>
                <c:pt idx="0">
                  <c:v>14.4</c:v>
                </c:pt>
                <c:pt idx="1">
                  <c:v>1.5</c:v>
                </c:pt>
                <c:pt idx="2">
                  <c:v>1.6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TM05U!$F$48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TM05U!$F$49:$F$51</c:f>
              <c:numCache>
                <c:ptCount val="3"/>
                <c:pt idx="0">
                  <c:v>21</c:v>
                </c:pt>
                <c:pt idx="1">
                  <c:v>11.9</c:v>
                </c:pt>
                <c:pt idx="2">
                  <c:v>6.700000000000001</c:v>
                </c:pt>
              </c:numCache>
            </c:numRef>
          </c:val>
          <c:shape val="box"/>
        </c:ser>
        <c:overlap val="100"/>
        <c:shape val="box"/>
        <c:axId val="63431331"/>
        <c:axId val="34011068"/>
      </c:bar3DChart>
      <c:catAx>
        <c:axId val="63431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011068"/>
        <c:crosses val="autoZero"/>
        <c:auto val="1"/>
        <c:lblOffset val="100"/>
        <c:noMultiLvlLbl val="0"/>
      </c:catAx>
      <c:valAx>
        <c:axId val="34011068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431331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Imprese che non dichiarano il valore dei beni strumentali ma deducono i relativi ammortamenti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275"/>
          <c:w val="0.97"/>
          <c:h val="0.7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TM05U!$E$11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TM05U!$D$12:$D$16</c:f>
              <c:strCache>
                <c:ptCount val="5"/>
                <c:pt idx="0">
                  <c:v>fino a 5</c:v>
                </c:pt>
                <c:pt idx="1">
                  <c:v>da 5 a 10</c:v>
                </c:pt>
                <c:pt idx="2">
                  <c:v>da 10 a 20</c:v>
                </c:pt>
                <c:pt idx="3">
                  <c:v>da 20 a 50</c:v>
                </c:pt>
                <c:pt idx="4">
                  <c:v>oltre 50</c:v>
                </c:pt>
              </c:strCache>
            </c:strRef>
          </c:cat>
          <c:val>
            <c:numRef>
              <c:f>TM05U!$E$12:$E$16</c:f>
              <c:numCache>
                <c:ptCount val="5"/>
                <c:pt idx="0">
                  <c:v>3098</c:v>
                </c:pt>
                <c:pt idx="1">
                  <c:v>483</c:v>
                </c:pt>
                <c:pt idx="2">
                  <c:v>272</c:v>
                </c:pt>
                <c:pt idx="3">
                  <c:v>152</c:v>
                </c:pt>
                <c:pt idx="4">
                  <c:v>55</c:v>
                </c:pt>
              </c:numCache>
            </c:numRef>
          </c:val>
          <c:shape val="box"/>
        </c:ser>
        <c:shape val="box"/>
        <c:axId val="37664157"/>
        <c:axId val="3433094"/>
      </c:bar3DChart>
      <c:catAx>
        <c:axId val="3766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Ammortamenti (migliaia di euro)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33094"/>
        <c:crosses val="autoZero"/>
        <c:auto val="1"/>
        <c:lblOffset val="100"/>
        <c:noMultiLvlLbl val="0"/>
      </c:catAx>
      <c:valAx>
        <c:axId val="343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6641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33CCCC"/>
        </a:gs>
        <a:gs pos="100000">
          <a:srgbClr val="0000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VALORE AGGIUNTO PER ADDETTO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TM05U!$E$27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TM05U!$E$28:$E$29</c:f>
              <c:numCache>
                <c:ptCount val="2"/>
                <c:pt idx="0">
                  <c:v>18.9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TM05U!$F$27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TM05U!$D$28:$D$29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TM05U!$F$28:$F$29</c:f>
              <c:numCache>
                <c:ptCount val="2"/>
                <c:pt idx="0">
                  <c:v>13.300000000000004</c:v>
                </c:pt>
                <c:pt idx="1">
                  <c:v>10.2</c:v>
                </c:pt>
              </c:numCache>
            </c:numRef>
          </c:val>
          <c:shape val="box"/>
        </c:ser>
        <c:overlap val="100"/>
        <c:shape val="box"/>
        <c:axId val="30897847"/>
        <c:axId val="9645168"/>
      </c:bar3DChart>
      <c:catAx>
        <c:axId val="30897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45168"/>
        <c:crosses val="autoZero"/>
        <c:auto val="1"/>
        <c:lblOffset val="100"/>
        <c:noMultiLvlLbl val="0"/>
      </c:catAx>
      <c:valAx>
        <c:axId val="9645168"/>
        <c:scaling>
          <c:orientation val="minMax"/>
          <c:max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897847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9A00"/>
        </a:gs>
        <a:gs pos="50000">
          <a:srgbClr val="00FF00"/>
        </a:gs>
        <a:gs pos="100000">
          <a:srgbClr val="00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REDDITIVITA' DEI BENI STRUMENTALI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TM05U!$E$32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TM05U!$E$33:$E$34</c:f>
              <c:numCache>
                <c:ptCount val="2"/>
                <c:pt idx="0">
                  <c:v>0.52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TM05U!$F$32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TM05U!$D$33:$D$34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TM05U!$F$33:$F$34</c:f>
              <c:numCache>
                <c:ptCount val="2"/>
                <c:pt idx="0">
                  <c:v>1.1099999999999999</c:v>
                </c:pt>
                <c:pt idx="1">
                  <c:v>0.16</c:v>
                </c:pt>
              </c:numCache>
            </c:numRef>
          </c:val>
          <c:shape val="box"/>
        </c:ser>
        <c:overlap val="100"/>
        <c:shape val="box"/>
        <c:axId val="19697649"/>
        <c:axId val="43061114"/>
      </c:bar3DChart>
      <c:catAx>
        <c:axId val="19697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061114"/>
        <c:crossesAt val="-0.2"/>
        <c:auto val="1"/>
        <c:lblOffset val="100"/>
        <c:noMultiLvlLbl val="0"/>
      </c:catAx>
      <c:valAx>
        <c:axId val="43061114"/>
        <c:scaling>
          <c:orientation val="minMax"/>
          <c:max val="1.8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697649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9A00"/>
        </a:gs>
        <a:gs pos="50000">
          <a:srgbClr val="FFFF00"/>
        </a:gs>
        <a:gs pos="100000">
          <a:srgbClr val="9A9A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GESTIONE DEL MAGAZZINO 
(Range interquartile)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TD09A!$E$6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TD09A!$E$7:$E$8</c:f>
              <c:numCache>
                <c:ptCount val="2"/>
                <c:pt idx="0">
                  <c:v>34</c:v>
                </c:pt>
                <c:pt idx="1">
                  <c:v>614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TD09A!$F$6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TD09A!$D$7:$D$8</c:f>
              <c:strCache>
                <c:ptCount val="2"/>
                <c:pt idx="0">
                  <c:v>Congrui e normali</c:v>
                </c:pt>
                <c:pt idx="1">
                  <c:v>Non normali </c:v>
                </c:pt>
              </c:strCache>
            </c:strRef>
          </c:cat>
          <c:val>
            <c:numRef>
              <c:f>TD09A!$F$7:$F$8</c:f>
              <c:numCache>
                <c:ptCount val="2"/>
                <c:pt idx="0">
                  <c:v>192</c:v>
                </c:pt>
                <c:pt idx="1">
                  <c:v>1542</c:v>
                </c:pt>
              </c:numCache>
            </c:numRef>
          </c:val>
          <c:shape val="box"/>
        </c:ser>
        <c:overlap val="100"/>
        <c:shape val="box"/>
        <c:axId val="51380553"/>
        <c:axId val="59771794"/>
      </c:bar3DChart>
      <c:catAx>
        <c:axId val="51380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771794"/>
        <c:crosses val="autoZero"/>
        <c:auto val="1"/>
        <c:lblOffset val="100"/>
        <c:noMultiLvlLbl val="0"/>
      </c:catAx>
      <c:valAx>
        <c:axId val="59771794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Giorni di durata delle scorte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380553"/>
        <c:crossesAt val="1"/>
        <c:crossBetween val="between"/>
        <c:dispUnits/>
        <c:majorUnit val="500"/>
        <c:minorUnit val="2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3D00"/>
        </a:gs>
        <a:gs pos="50000">
          <a:srgbClr val="FF6600"/>
        </a:gs>
        <a:gs pos="100000">
          <a:srgbClr val="9A3D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REDDITO D'IMPRESA 
(range interquartile)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65"/>
          <c:y val="0.14075"/>
          <c:w val="0.94475"/>
          <c:h val="0.8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TD09A!$E$48</c:f>
              <c:strCache>
                <c:ptCount val="1"/>
                <c:pt idx="0">
                  <c:v>1°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TD09A!$E$49:$E$51</c:f>
              <c:numCache>
                <c:ptCount val="3"/>
                <c:pt idx="0">
                  <c:v>17.3</c:v>
                </c:pt>
                <c:pt idx="1">
                  <c:v>6.3</c:v>
                </c:pt>
                <c:pt idx="2">
                  <c:v>2.7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TD09A!$F$48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TD09A!$D$49:$D$51</c:f>
              <c:strCache>
                <c:ptCount val="3"/>
                <c:pt idx="0">
                  <c:v>Congrui e normali</c:v>
                </c:pt>
                <c:pt idx="1">
                  <c:v>Non congrui e/o non normali </c:v>
                </c:pt>
                <c:pt idx="2">
                  <c:v>Marginali</c:v>
                </c:pt>
              </c:strCache>
            </c:strRef>
          </c:cat>
          <c:val>
            <c:numRef>
              <c:f>TD09A!$F$49:$F$51</c:f>
              <c:numCache>
                <c:ptCount val="3"/>
                <c:pt idx="0">
                  <c:v>27.599999999999998</c:v>
                </c:pt>
                <c:pt idx="1">
                  <c:v>12.7</c:v>
                </c:pt>
                <c:pt idx="2">
                  <c:v>8.8</c:v>
                </c:pt>
              </c:numCache>
            </c:numRef>
          </c:val>
          <c:shape val="box"/>
        </c:ser>
        <c:overlap val="100"/>
        <c:shape val="box"/>
        <c:axId val="1075235"/>
        <c:axId val="9677116"/>
      </c:bar3DChart>
      <c:catAx>
        <c:axId val="1075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77116"/>
        <c:crosses val="autoZero"/>
        <c:auto val="1"/>
        <c:lblOffset val="100"/>
        <c:noMultiLvlLbl val="0"/>
      </c:catAx>
      <c:valAx>
        <c:axId val="9677116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Migliaia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7523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45</xdr:row>
      <xdr:rowOff>152400</xdr:rowOff>
    </xdr:from>
    <xdr:to>
      <xdr:col>1</xdr:col>
      <xdr:colOff>3381375</xdr:colOff>
      <xdr:row>64</xdr:row>
      <xdr:rowOff>57150</xdr:rowOff>
    </xdr:to>
    <xdr:graphicFrame>
      <xdr:nvGraphicFramePr>
        <xdr:cNvPr id="1" name="Chart 1"/>
        <xdr:cNvGraphicFramePr/>
      </xdr:nvGraphicFramePr>
      <xdr:xfrm>
        <a:off x="3609975" y="7477125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46</xdr:row>
      <xdr:rowOff>0</xdr:rowOff>
    </xdr:from>
    <xdr:to>
      <xdr:col>0</xdr:col>
      <xdr:colOff>3381375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57150" y="74866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609975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25</xdr:row>
      <xdr:rowOff>114300</xdr:rowOff>
    </xdr:from>
    <xdr:to>
      <xdr:col>1</xdr:col>
      <xdr:colOff>3371850</xdr:colOff>
      <xdr:row>41</xdr:row>
      <xdr:rowOff>114300</xdr:rowOff>
    </xdr:to>
    <xdr:graphicFrame>
      <xdr:nvGraphicFramePr>
        <xdr:cNvPr id="6" name="Chart 6"/>
        <xdr:cNvGraphicFramePr/>
      </xdr:nvGraphicFramePr>
      <xdr:xfrm>
        <a:off x="3590925" y="4200525"/>
        <a:ext cx="3324225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59092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2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3" name="Chart 4"/>
        <xdr:cNvGraphicFramePr/>
      </xdr:nvGraphicFramePr>
      <xdr:xfrm>
        <a:off x="3619500" y="847725"/>
        <a:ext cx="32575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4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5" name="Chart 6"/>
        <xdr:cNvGraphicFramePr/>
      </xdr:nvGraphicFramePr>
      <xdr:xfrm>
        <a:off x="3619500" y="4210050"/>
        <a:ext cx="33242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59092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619500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6"/>
        <xdr:cNvGraphicFramePr/>
      </xdr:nvGraphicFramePr>
      <xdr:xfrm>
        <a:off x="3619500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59092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4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5" name="Chart 6"/>
        <xdr:cNvGraphicFramePr/>
      </xdr:nvGraphicFramePr>
      <xdr:xfrm>
        <a:off x="3619500" y="4210050"/>
        <a:ext cx="33242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66712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695700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6"/>
        <xdr:cNvGraphicFramePr/>
      </xdr:nvGraphicFramePr>
      <xdr:xfrm>
        <a:off x="3695700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64807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676650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6"/>
        <xdr:cNvGraphicFramePr/>
      </xdr:nvGraphicFramePr>
      <xdr:xfrm>
        <a:off x="3676650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486150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514725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6"/>
        <xdr:cNvGraphicFramePr/>
      </xdr:nvGraphicFramePr>
      <xdr:xfrm>
        <a:off x="3514725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59092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619500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6"/>
        <xdr:cNvGraphicFramePr/>
      </xdr:nvGraphicFramePr>
      <xdr:xfrm>
        <a:off x="3619500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59092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619500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6"/>
        <xdr:cNvGraphicFramePr/>
      </xdr:nvGraphicFramePr>
      <xdr:xfrm>
        <a:off x="3619500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59092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619500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6"/>
        <xdr:cNvGraphicFramePr/>
      </xdr:nvGraphicFramePr>
      <xdr:xfrm>
        <a:off x="3619500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59092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619500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6"/>
        <xdr:cNvGraphicFramePr/>
      </xdr:nvGraphicFramePr>
      <xdr:xfrm>
        <a:off x="3619500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590925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4"/>
        <xdr:cNvGraphicFramePr/>
      </xdr:nvGraphicFramePr>
      <xdr:xfrm>
        <a:off x="3619500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5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6"/>
        <xdr:cNvGraphicFramePr/>
      </xdr:nvGraphicFramePr>
      <xdr:xfrm>
        <a:off x="3619500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</xdr:row>
      <xdr:rowOff>114300</xdr:rowOff>
    </xdr:from>
    <xdr:to>
      <xdr:col>1</xdr:col>
      <xdr:colOff>3352800</xdr:colOff>
      <xdr:row>65</xdr:row>
      <xdr:rowOff>19050</xdr:rowOff>
    </xdr:to>
    <xdr:graphicFrame>
      <xdr:nvGraphicFramePr>
        <xdr:cNvPr id="1" name="Chart 3"/>
        <xdr:cNvGraphicFramePr/>
      </xdr:nvGraphicFramePr>
      <xdr:xfrm>
        <a:off x="3486150" y="7600950"/>
        <a:ext cx="3314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152400</xdr:rowOff>
    </xdr:from>
    <xdr:to>
      <xdr:col>0</xdr:col>
      <xdr:colOff>3390900</xdr:colOff>
      <xdr:row>20</xdr:row>
      <xdr:rowOff>152400</xdr:rowOff>
    </xdr:to>
    <xdr:graphicFrame>
      <xdr:nvGraphicFramePr>
        <xdr:cNvPr id="2" name="Chart 5"/>
        <xdr:cNvGraphicFramePr/>
      </xdr:nvGraphicFramePr>
      <xdr:xfrm>
        <a:off x="38100" y="838200"/>
        <a:ext cx="3352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3371850</xdr:colOff>
      <xdr:row>65</xdr:row>
      <xdr:rowOff>28575</xdr:rowOff>
    </xdr:to>
    <xdr:graphicFrame>
      <xdr:nvGraphicFramePr>
        <xdr:cNvPr id="3" name="Chart 7"/>
        <xdr:cNvGraphicFramePr/>
      </xdr:nvGraphicFramePr>
      <xdr:xfrm>
        <a:off x="47625" y="7600950"/>
        <a:ext cx="3324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3324225</xdr:colOff>
      <xdr:row>20</xdr:row>
      <xdr:rowOff>142875</xdr:rowOff>
    </xdr:to>
    <xdr:graphicFrame>
      <xdr:nvGraphicFramePr>
        <xdr:cNvPr id="4" name="Chart 9"/>
        <xdr:cNvGraphicFramePr/>
      </xdr:nvGraphicFramePr>
      <xdr:xfrm>
        <a:off x="3514725" y="847725"/>
        <a:ext cx="32575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0</xdr:col>
      <xdr:colOff>3400425</xdr:colOff>
      <xdr:row>41</xdr:row>
      <xdr:rowOff>133350</xdr:rowOff>
    </xdr:to>
    <xdr:graphicFrame>
      <xdr:nvGraphicFramePr>
        <xdr:cNvPr id="5" name="Chart 10"/>
        <xdr:cNvGraphicFramePr/>
      </xdr:nvGraphicFramePr>
      <xdr:xfrm>
        <a:off x="38100" y="42100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3390900</xdr:colOff>
      <xdr:row>41</xdr:row>
      <xdr:rowOff>142875</xdr:rowOff>
    </xdr:to>
    <xdr:graphicFrame>
      <xdr:nvGraphicFramePr>
        <xdr:cNvPr id="6" name="Chart 11"/>
        <xdr:cNvGraphicFramePr/>
      </xdr:nvGraphicFramePr>
      <xdr:xfrm>
        <a:off x="3514725" y="4210050"/>
        <a:ext cx="33242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="130" zoomScaleNormal="130" workbookViewId="0" topLeftCell="A1">
      <selection activeCell="A1" sqref="A1"/>
    </sheetView>
  </sheetViews>
  <sheetFormatPr defaultColWidth="9.140625" defaultRowHeight="12.75"/>
  <cols>
    <col min="9" max="9" width="14.57421875" style="0" customWidth="1"/>
  </cols>
  <sheetData>
    <row r="1" ht="12.75">
      <c r="A1" s="1" t="s">
        <v>4</v>
      </c>
    </row>
    <row r="2" ht="12.75">
      <c r="A2" s="11" t="s">
        <v>5</v>
      </c>
    </row>
    <row r="4" ht="12.75">
      <c r="A4" s="1"/>
    </row>
    <row r="5" ht="12.75">
      <c r="A5" t="s">
        <v>176</v>
      </c>
    </row>
    <row r="6" ht="12.75">
      <c r="A6" t="s">
        <v>180</v>
      </c>
    </row>
    <row r="7" ht="12.75">
      <c r="A7" t="s">
        <v>178</v>
      </c>
    </row>
    <row r="8" ht="12.75">
      <c r="A8" t="s">
        <v>179</v>
      </c>
    </row>
    <row r="10" ht="12.75">
      <c r="B10" t="s">
        <v>177</v>
      </c>
    </row>
    <row r="11" ht="12.75">
      <c r="A11" t="s">
        <v>187</v>
      </c>
    </row>
    <row r="12" ht="12.75">
      <c r="A12" s="20" t="s">
        <v>183</v>
      </c>
    </row>
    <row r="13" ht="12.75">
      <c r="A13" s="20" t="s">
        <v>184</v>
      </c>
    </row>
    <row r="14" ht="12.75">
      <c r="A14" s="20" t="s">
        <v>181</v>
      </c>
    </row>
    <row r="15" ht="12.75">
      <c r="A15" s="20" t="s">
        <v>185</v>
      </c>
    </row>
    <row r="16" ht="12.75">
      <c r="A16" s="20" t="s">
        <v>186</v>
      </c>
    </row>
    <row r="18" ht="12.75">
      <c r="A18" t="s">
        <v>182</v>
      </c>
    </row>
    <row r="19" ht="12.75">
      <c r="A19" t="s">
        <v>188</v>
      </c>
    </row>
  </sheetData>
  <printOptions/>
  <pageMargins left="0.42" right="0.29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2" width="51.7109375" style="0" customWidth="1"/>
    <col min="3" max="3" width="100.7109375" style="0" customWidth="1"/>
    <col min="4" max="4" width="28.57421875" style="0" customWidth="1"/>
  </cols>
  <sheetData>
    <row r="1" ht="15.75" customHeight="1">
      <c r="A1" s="2" t="s">
        <v>3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29</v>
      </c>
    </row>
    <row r="6" spans="4:6" ht="12.75">
      <c r="D6" s="4" t="s">
        <v>2</v>
      </c>
      <c r="E6" s="5" t="s">
        <v>1</v>
      </c>
      <c r="F6" s="5" t="s">
        <v>10</v>
      </c>
    </row>
    <row r="7" spans="4:6" ht="12.75">
      <c r="D7" s="5" t="s">
        <v>0</v>
      </c>
      <c r="E7" s="5">
        <v>0</v>
      </c>
      <c r="F7" s="5">
        <f>83-E7</f>
        <v>83</v>
      </c>
    </row>
    <row r="8" spans="4:6" ht="12.75">
      <c r="D8" s="5" t="s">
        <v>8</v>
      </c>
      <c r="E8" s="5">
        <v>338</v>
      </c>
      <c r="F8" s="5">
        <f>1150-E8</f>
        <v>812</v>
      </c>
    </row>
    <row r="11" spans="4:5" ht="12.75">
      <c r="D11" s="4" t="s">
        <v>15</v>
      </c>
      <c r="E11" s="5" t="s">
        <v>16</v>
      </c>
    </row>
    <row r="12" spans="4:5" ht="12.75">
      <c r="D12" s="5" t="s">
        <v>17</v>
      </c>
      <c r="E12" s="8">
        <v>461</v>
      </c>
    </row>
    <row r="13" spans="4:5" ht="12.75">
      <c r="D13" s="5" t="s">
        <v>18</v>
      </c>
      <c r="E13" s="5">
        <v>43</v>
      </c>
    </row>
    <row r="14" spans="4:5" ht="12.75">
      <c r="D14" s="5" t="s">
        <v>19</v>
      </c>
      <c r="E14" s="5">
        <v>26</v>
      </c>
    </row>
    <row r="15" spans="4:5" ht="12.75">
      <c r="D15" s="5" t="s">
        <v>20</v>
      </c>
      <c r="E15" s="5">
        <v>10</v>
      </c>
    </row>
    <row r="16" spans="4:5" ht="12.75">
      <c r="D16" s="5" t="s">
        <v>21</v>
      </c>
      <c r="E16" s="5">
        <v>15</v>
      </c>
    </row>
    <row r="22" spans="1:2" ht="12.75" customHeight="1">
      <c r="A22" s="9" t="s">
        <v>6</v>
      </c>
      <c r="B22" s="10" t="s">
        <v>24</v>
      </c>
    </row>
    <row r="23" spans="1:2" ht="12.75">
      <c r="A23" s="9" t="s">
        <v>23</v>
      </c>
      <c r="B23" s="9" t="s">
        <v>22</v>
      </c>
    </row>
    <row r="24" spans="1:2" ht="12.75">
      <c r="A24" s="9" t="s">
        <v>11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4" t="s">
        <v>25</v>
      </c>
      <c r="E27" s="5" t="s">
        <v>1</v>
      </c>
      <c r="F27" s="5" t="s">
        <v>10</v>
      </c>
    </row>
    <row r="28" spans="1:6" ht="12.75">
      <c r="A28" s="9"/>
      <c r="B28" s="7"/>
      <c r="D28" s="5" t="s">
        <v>0</v>
      </c>
      <c r="E28" s="5">
        <v>14.3</v>
      </c>
      <c r="F28" s="5">
        <f>22-E28</f>
        <v>7.699999999999999</v>
      </c>
    </row>
    <row r="29" spans="1:6" ht="12.75">
      <c r="A29" s="9"/>
      <c r="B29" s="7"/>
      <c r="D29" s="5" t="s">
        <v>8</v>
      </c>
      <c r="E29" s="5">
        <v>2.1</v>
      </c>
      <c r="F29" s="5">
        <f>8.5-E29</f>
        <v>6.4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4" t="s">
        <v>30</v>
      </c>
      <c r="E32" s="5" t="s">
        <v>1</v>
      </c>
      <c r="F32" s="5" t="s">
        <v>10</v>
      </c>
    </row>
    <row r="33" spans="1:6" ht="12.75">
      <c r="A33" s="9"/>
      <c r="B33" s="7"/>
      <c r="D33" s="5" t="s">
        <v>0</v>
      </c>
      <c r="E33" s="5">
        <v>0.36</v>
      </c>
      <c r="F33" s="5">
        <f>0.93-E33</f>
        <v>0.5700000000000001</v>
      </c>
    </row>
    <row r="34" spans="1:6" ht="12.75">
      <c r="A34" s="9"/>
      <c r="B34" s="7"/>
      <c r="D34" s="5" t="s">
        <v>8</v>
      </c>
      <c r="E34" s="5">
        <v>0</v>
      </c>
      <c r="F34" s="5">
        <v>0.12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27</v>
      </c>
      <c r="B43" s="9" t="s">
        <v>76</v>
      </c>
    </row>
    <row r="44" spans="1:2" ht="12.75">
      <c r="A44" s="9" t="s">
        <v>28</v>
      </c>
      <c r="B44" s="9" t="s">
        <v>32</v>
      </c>
    </row>
    <row r="45" spans="1:3" ht="12.75">
      <c r="A45" s="9" t="s">
        <v>26</v>
      </c>
      <c r="B45" s="9" t="s">
        <v>74</v>
      </c>
      <c r="C45" s="3"/>
    </row>
    <row r="46" spans="1:3" ht="12.75">
      <c r="A46" s="9"/>
      <c r="C46" s="3"/>
    </row>
    <row r="48" spans="4:6" ht="12.75">
      <c r="D48" s="4" t="s">
        <v>12</v>
      </c>
      <c r="E48" s="5" t="s">
        <v>1</v>
      </c>
      <c r="F48" s="5" t="s">
        <v>10</v>
      </c>
    </row>
    <row r="49" spans="4:6" ht="12.75">
      <c r="D49" s="5" t="s">
        <v>0</v>
      </c>
      <c r="E49" s="5">
        <v>12</v>
      </c>
      <c r="F49" s="6">
        <f>23.34-E49</f>
        <v>11.34</v>
      </c>
    </row>
    <row r="50" spans="4:6" ht="12.75">
      <c r="D50" s="5" t="s">
        <v>7</v>
      </c>
      <c r="E50" s="5">
        <v>3</v>
      </c>
      <c r="F50" s="5">
        <f>10.78-E50</f>
        <v>7.779999999999999</v>
      </c>
    </row>
    <row r="51" spans="4:6" ht="12.75">
      <c r="D51" s="5" t="s">
        <v>9</v>
      </c>
      <c r="E51" s="5">
        <v>2</v>
      </c>
      <c r="F51" s="5">
        <f>8.13-E51</f>
        <v>6.130000000000001</v>
      </c>
    </row>
    <row r="53" spans="4:6" ht="12.75">
      <c r="D53" s="4" t="s">
        <v>33</v>
      </c>
      <c r="E53" s="5" t="s">
        <v>1</v>
      </c>
      <c r="F53" s="5" t="s">
        <v>10</v>
      </c>
    </row>
    <row r="54" spans="4:6" ht="12.75">
      <c r="D54" s="5" t="s">
        <v>0</v>
      </c>
      <c r="E54" s="5">
        <v>9.7</v>
      </c>
      <c r="F54" s="6">
        <f>16.9-E54</f>
        <v>7.199999999999999</v>
      </c>
    </row>
    <row r="55" spans="4:6" ht="12.75">
      <c r="D55" s="5" t="s">
        <v>7</v>
      </c>
      <c r="E55" s="5">
        <v>2.3</v>
      </c>
      <c r="F55" s="5">
        <f>9.4-E55</f>
        <v>7.1000000000000005</v>
      </c>
    </row>
    <row r="56" spans="4:6" ht="12.75">
      <c r="D56" s="5" t="s">
        <v>9</v>
      </c>
      <c r="E56" s="5">
        <v>2.3</v>
      </c>
      <c r="F56" s="5">
        <f>8.1-E56</f>
        <v>5.8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14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2" width="51.7109375" style="0" customWidth="1"/>
    <col min="3" max="3" width="100.7109375" style="0" customWidth="1"/>
    <col min="4" max="4" width="28.57421875" style="16" customWidth="1"/>
    <col min="5" max="6" width="9.140625" style="16" customWidth="1"/>
  </cols>
  <sheetData>
    <row r="1" ht="15.75" customHeight="1">
      <c r="A1" s="2" t="s">
        <v>85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93</v>
      </c>
    </row>
    <row r="6" spans="1:6" ht="12.75">
      <c r="A6" s="19" t="s">
        <v>90</v>
      </c>
      <c r="D6" s="13" t="s">
        <v>2</v>
      </c>
      <c r="E6" s="14" t="s">
        <v>1</v>
      </c>
      <c r="F6" s="14" t="s">
        <v>10</v>
      </c>
    </row>
    <row r="7" spans="1:6" ht="12.75">
      <c r="A7" s="19" t="s">
        <v>91</v>
      </c>
      <c r="D7" s="14" t="s">
        <v>0</v>
      </c>
      <c r="E7" s="14"/>
      <c r="F7" s="14"/>
    </row>
    <row r="8" spans="4:6" ht="12.75">
      <c r="D8" s="14" t="s">
        <v>8</v>
      </c>
      <c r="E8" s="14"/>
      <c r="F8" s="14"/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93</v>
      </c>
    </row>
    <row r="13" spans="4:5" ht="12.75">
      <c r="D13" s="14" t="s">
        <v>18</v>
      </c>
      <c r="E13" s="14">
        <v>30</v>
      </c>
    </row>
    <row r="14" spans="4:5" ht="12.75">
      <c r="D14" s="14" t="s">
        <v>19</v>
      </c>
      <c r="E14" s="14">
        <v>13</v>
      </c>
    </row>
    <row r="15" spans="4:5" ht="12.75">
      <c r="D15" s="14" t="s">
        <v>20</v>
      </c>
      <c r="E15" s="14">
        <v>1</v>
      </c>
    </row>
    <row r="16" spans="4:5" ht="12.75">
      <c r="D16" s="14" t="s">
        <v>21</v>
      </c>
      <c r="E16" s="14">
        <v>0</v>
      </c>
    </row>
    <row r="22" spans="1:2" ht="12.75" customHeight="1">
      <c r="A22" s="9"/>
      <c r="B22" s="10" t="s">
        <v>89</v>
      </c>
    </row>
    <row r="23" spans="1:2" ht="12.75">
      <c r="A23" s="9"/>
      <c r="B23" s="9" t="s">
        <v>22</v>
      </c>
    </row>
    <row r="24" spans="1:2" ht="12.75">
      <c r="A24" s="9"/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16.6</v>
      </c>
      <c r="F28" s="14">
        <f>20.4-E28</f>
        <v>3.799999999999997</v>
      </c>
    </row>
    <row r="29" spans="1:6" ht="12.75">
      <c r="A29" s="9"/>
      <c r="B29" s="7"/>
      <c r="D29" s="14" t="s">
        <v>8</v>
      </c>
      <c r="E29" s="14">
        <v>10.2</v>
      </c>
      <c r="F29" s="14">
        <f>14.4-E29</f>
        <v>4.200000000000001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0.82</v>
      </c>
      <c r="F33" s="14">
        <f>1.2-E33</f>
        <v>0.38</v>
      </c>
    </row>
    <row r="34" spans="1:6" ht="12.75">
      <c r="A34" s="9"/>
      <c r="B34" s="7"/>
      <c r="D34" s="14" t="s">
        <v>8</v>
      </c>
      <c r="E34" s="14">
        <v>0.05</v>
      </c>
      <c r="F34" s="14">
        <v>0.2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94</v>
      </c>
      <c r="B43" s="9" t="s">
        <v>99</v>
      </c>
    </row>
    <row r="44" spans="1:2" ht="12.75">
      <c r="A44" s="9" t="s">
        <v>97</v>
      </c>
      <c r="B44" s="9" t="s">
        <v>100</v>
      </c>
    </row>
    <row r="45" spans="1:3" ht="12.75">
      <c r="A45" s="9" t="s">
        <v>98</v>
      </c>
      <c r="B45" s="9" t="s">
        <v>101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12.2</v>
      </c>
      <c r="F49" s="14">
        <f>16.4-E49</f>
        <v>4.199999999999999</v>
      </c>
    </row>
    <row r="50" spans="4:6" ht="12.75">
      <c r="D50" s="14" t="s">
        <v>7</v>
      </c>
      <c r="E50" s="14">
        <v>8.7</v>
      </c>
      <c r="F50" s="14">
        <f>13-E50</f>
        <v>4.300000000000001</v>
      </c>
    </row>
    <row r="51" spans="4:6" ht="12.75">
      <c r="D51" s="14" t="s">
        <v>9</v>
      </c>
      <c r="E51" s="14">
        <v>2.8</v>
      </c>
      <c r="F51" s="14">
        <f>8.3-E51</f>
        <v>5.500000000000001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12.1</v>
      </c>
      <c r="F54" s="14">
        <f>16.3-E54</f>
        <v>4.200000000000001</v>
      </c>
    </row>
    <row r="55" spans="4:6" ht="12.75">
      <c r="D55" s="14" t="s">
        <v>7</v>
      </c>
      <c r="E55" s="14">
        <v>8.4</v>
      </c>
      <c r="F55" s="14">
        <f>12.7-E55</f>
        <v>4.299999999999999</v>
      </c>
    </row>
    <row r="56" spans="4:6" ht="12.75">
      <c r="D56" s="14" t="s">
        <v>9</v>
      </c>
      <c r="E56" s="14">
        <v>2.8</v>
      </c>
      <c r="F56" s="14">
        <f>8.2-E56</f>
        <v>5.3999999999999995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105</v>
      </c>
      <c r="B68" s="12" t="s">
        <v>106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2" width="51.7109375" style="0" customWidth="1"/>
    <col min="3" max="3" width="100.7109375" style="0" customWidth="1"/>
    <col min="4" max="4" width="28.57421875" style="16" customWidth="1"/>
    <col min="5" max="6" width="9.140625" style="16" customWidth="1"/>
  </cols>
  <sheetData>
    <row r="1" ht="15.75" customHeight="1">
      <c r="A1" s="2" t="s">
        <v>83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84</v>
      </c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5</v>
      </c>
      <c r="F7" s="14">
        <f>23-E7</f>
        <v>18</v>
      </c>
    </row>
    <row r="8" spans="4:6" ht="12.75">
      <c r="D8" s="14" t="s">
        <v>8</v>
      </c>
      <c r="E8" s="14">
        <v>73</v>
      </c>
      <c r="F8" s="14">
        <f>199-E8</f>
        <v>126</v>
      </c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994</v>
      </c>
    </row>
    <row r="13" spans="4:5" ht="12.75">
      <c r="D13" s="14" t="s">
        <v>18</v>
      </c>
      <c r="E13" s="14">
        <v>119</v>
      </c>
    </row>
    <row r="14" spans="4:5" ht="12.75">
      <c r="D14" s="14" t="s">
        <v>19</v>
      </c>
      <c r="E14" s="14">
        <v>48</v>
      </c>
    </row>
    <row r="15" spans="4:5" ht="12.75">
      <c r="D15" s="14" t="s">
        <v>20</v>
      </c>
      <c r="E15" s="14">
        <v>11</v>
      </c>
    </row>
    <row r="16" spans="4:5" ht="12.75">
      <c r="D16" s="14" t="s">
        <v>21</v>
      </c>
      <c r="E16" s="14">
        <v>2</v>
      </c>
    </row>
    <row r="22" spans="1:2" ht="12.75" customHeight="1">
      <c r="A22" s="9" t="s">
        <v>86</v>
      </c>
      <c r="B22" s="10" t="s">
        <v>92</v>
      </c>
    </row>
    <row r="23" spans="1:2" ht="12.75">
      <c r="A23" s="9" t="s">
        <v>88</v>
      </c>
      <c r="B23" s="9" t="s">
        <v>22</v>
      </c>
    </row>
    <row r="24" spans="1:2" ht="12.75">
      <c r="A24" s="9" t="s">
        <v>87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16.4</v>
      </c>
      <c r="F28" s="14">
        <f>24.3-E28</f>
        <v>7.900000000000002</v>
      </c>
    </row>
    <row r="29" spans="1:6" ht="12.75">
      <c r="A29" s="9"/>
      <c r="B29" s="7"/>
      <c r="D29" s="14" t="s">
        <v>8</v>
      </c>
      <c r="E29" s="14">
        <v>2.9</v>
      </c>
      <c r="F29" s="14">
        <f>10.7-E29</f>
        <v>7.799999999999999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0.47</v>
      </c>
      <c r="F33" s="14">
        <f>1.29-E33</f>
        <v>0.8200000000000001</v>
      </c>
    </row>
    <row r="34" spans="1:6" ht="12.75">
      <c r="A34" s="9"/>
      <c r="B34" s="7"/>
      <c r="D34" s="14" t="s">
        <v>8</v>
      </c>
      <c r="E34" s="14">
        <v>0.02</v>
      </c>
      <c r="F34" s="14">
        <v>0.16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94</v>
      </c>
      <c r="B43" s="9" t="s">
        <v>102</v>
      </c>
    </row>
    <row r="44" spans="1:2" ht="12.75">
      <c r="A44" s="9" t="s">
        <v>95</v>
      </c>
      <c r="B44" s="9" t="s">
        <v>103</v>
      </c>
    </row>
    <row r="45" spans="1:3" ht="12.75">
      <c r="A45" s="9" t="s">
        <v>96</v>
      </c>
      <c r="B45" s="9" t="s">
        <v>104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14.2</v>
      </c>
      <c r="F49" s="14">
        <f>29-E49</f>
        <v>14.8</v>
      </c>
    </row>
    <row r="50" spans="4:6" ht="12.75">
      <c r="D50" s="14" t="s">
        <v>7</v>
      </c>
      <c r="E50" s="14">
        <v>5.8</v>
      </c>
      <c r="F50" s="14">
        <f>15.5-E50</f>
        <v>9.7</v>
      </c>
    </row>
    <row r="51" spans="4:6" ht="12.75">
      <c r="D51" s="14" t="s">
        <v>9</v>
      </c>
      <c r="E51" s="14">
        <v>3.6</v>
      </c>
      <c r="F51" s="14">
        <f>10.5-E51</f>
        <v>6.9</v>
      </c>
    </row>
    <row r="53" spans="4:6" ht="12.75">
      <c r="D53" s="17" t="s">
        <v>33</v>
      </c>
      <c r="E53" s="6" t="s">
        <v>1</v>
      </c>
      <c r="F53" s="6" t="s">
        <v>10</v>
      </c>
    </row>
    <row r="54" spans="4:6" ht="12.75">
      <c r="D54" s="6" t="s">
        <v>0</v>
      </c>
      <c r="E54" s="6">
        <v>12.2</v>
      </c>
      <c r="F54" s="6">
        <f>19.4-E54</f>
        <v>7.199999999999999</v>
      </c>
    </row>
    <row r="55" spans="4:6" ht="12.75">
      <c r="D55" s="6" t="s">
        <v>7</v>
      </c>
      <c r="E55" s="6">
        <v>5</v>
      </c>
      <c r="F55" s="6">
        <f>11.6-E55</f>
        <v>6.6</v>
      </c>
    </row>
    <row r="56" spans="4:6" ht="12.75">
      <c r="D56" s="6" t="s">
        <v>9</v>
      </c>
      <c r="E56" s="6">
        <v>3.5</v>
      </c>
      <c r="F56" s="6">
        <f>10.3-E56</f>
        <v>6.800000000000001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14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4">
      <selection activeCell="A1" sqref="A1"/>
    </sheetView>
  </sheetViews>
  <sheetFormatPr defaultColWidth="9.140625" defaultRowHeight="12.75"/>
  <cols>
    <col min="1" max="1" width="53.28125" style="0" customWidth="1"/>
    <col min="2" max="2" width="51.7109375" style="0" customWidth="1"/>
    <col min="3" max="3" width="100.7109375" style="0" customWidth="1"/>
    <col min="4" max="4" width="28.57421875" style="16" customWidth="1"/>
    <col min="5" max="6" width="9.140625" style="16" customWidth="1"/>
  </cols>
  <sheetData>
    <row r="1" ht="15.75" customHeight="1">
      <c r="A1" s="2" t="s">
        <v>117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118</v>
      </c>
    </row>
    <row r="6" spans="2:6" ht="12.75">
      <c r="B6" s="19" t="s">
        <v>122</v>
      </c>
      <c r="D6" s="13" t="s">
        <v>2</v>
      </c>
      <c r="E6" s="14" t="s">
        <v>1</v>
      </c>
      <c r="F6" s="14" t="s">
        <v>10</v>
      </c>
    </row>
    <row r="7" spans="2:6" ht="12.75">
      <c r="B7" s="19" t="s">
        <v>123</v>
      </c>
      <c r="D7" s="14" t="s">
        <v>0</v>
      </c>
      <c r="E7" s="14">
        <v>4</v>
      </c>
      <c r="F7" s="14">
        <f>42-E7</f>
        <v>38</v>
      </c>
    </row>
    <row r="8" spans="2:6" ht="12.75">
      <c r="B8" s="19" t="s">
        <v>124</v>
      </c>
      <c r="D8" s="14" t="s">
        <v>8</v>
      </c>
      <c r="E8" s="14">
        <v>70</v>
      </c>
      <c r="F8" s="14">
        <f>298-E8</f>
        <v>228</v>
      </c>
    </row>
    <row r="11" spans="4:5" ht="12.75">
      <c r="D11" s="17" t="s">
        <v>15</v>
      </c>
      <c r="E11" s="6" t="s">
        <v>16</v>
      </c>
    </row>
    <row r="12" spans="4:5" ht="12.75">
      <c r="D12" s="6" t="s">
        <v>17</v>
      </c>
      <c r="E12" s="18"/>
    </row>
    <row r="13" spans="4:5" ht="12.75">
      <c r="D13" s="6" t="s">
        <v>18</v>
      </c>
      <c r="E13" s="6"/>
    </row>
    <row r="14" spans="4:5" ht="12.75">
      <c r="D14" s="6" t="s">
        <v>19</v>
      </c>
      <c r="E14" s="6"/>
    </row>
    <row r="15" spans="4:5" ht="12.75">
      <c r="D15" s="6" t="s">
        <v>20</v>
      </c>
      <c r="E15" s="6"/>
    </row>
    <row r="16" spans="4:5" ht="12.75">
      <c r="D16" s="6" t="s">
        <v>21</v>
      </c>
      <c r="E16" s="6"/>
    </row>
    <row r="22" spans="1:2" ht="12.75" customHeight="1">
      <c r="A22" s="9" t="s">
        <v>119</v>
      </c>
      <c r="B22" s="10"/>
    </row>
    <row r="23" spans="1:2" ht="12.75">
      <c r="A23" s="9" t="s">
        <v>120</v>
      </c>
      <c r="B23" s="9"/>
    </row>
    <row r="24" spans="1:2" ht="12.75">
      <c r="A24" s="9" t="s">
        <v>121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15.8</v>
      </c>
      <c r="F28" s="14">
        <f>23.5-E28</f>
        <v>7.699999999999999</v>
      </c>
    </row>
    <row r="29" spans="1:6" ht="12.75">
      <c r="A29" s="9"/>
      <c r="B29" s="7"/>
      <c r="D29" s="14" t="s">
        <v>8</v>
      </c>
      <c r="E29" s="14">
        <v>3.5</v>
      </c>
      <c r="F29" s="14">
        <f>10.8-E29</f>
        <v>7.300000000000001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0.4</v>
      </c>
      <c r="F33" s="14">
        <f>1.04-E33</f>
        <v>0.64</v>
      </c>
    </row>
    <row r="34" spans="1:6" ht="12.75">
      <c r="A34" s="9"/>
      <c r="B34" s="7"/>
      <c r="D34" s="14" t="s">
        <v>8</v>
      </c>
      <c r="E34" s="14">
        <v>0.06</v>
      </c>
      <c r="F34" s="14">
        <v>0.11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94</v>
      </c>
      <c r="B43" s="9" t="s">
        <v>31</v>
      </c>
    </row>
    <row r="44" spans="1:2" ht="12.75">
      <c r="A44" s="9" t="s">
        <v>125</v>
      </c>
      <c r="B44" s="9" t="s">
        <v>127</v>
      </c>
    </row>
    <row r="45" spans="1:3" ht="12.75">
      <c r="A45" s="9" t="s">
        <v>126</v>
      </c>
      <c r="B45" s="9" t="s">
        <v>128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13.5</v>
      </c>
      <c r="F49" s="14">
        <f>26.7-E49</f>
        <v>13.2</v>
      </c>
    </row>
    <row r="50" spans="4:6" ht="12.75">
      <c r="D50" s="14" t="s">
        <v>7</v>
      </c>
      <c r="E50" s="14">
        <v>6.7</v>
      </c>
      <c r="F50" s="14">
        <f>16.6-E50</f>
        <v>9.900000000000002</v>
      </c>
    </row>
    <row r="51" spans="4:6" ht="12.75">
      <c r="D51" s="14" t="s">
        <v>9</v>
      </c>
      <c r="E51" s="14">
        <v>5.4</v>
      </c>
      <c r="F51" s="14">
        <f>11.3-E51</f>
        <v>5.9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11.4</v>
      </c>
      <c r="F54" s="14">
        <f>17.9-E54</f>
        <v>6.499999999999998</v>
      </c>
    </row>
    <row r="55" spans="4:6" ht="12.75">
      <c r="D55" s="14" t="s">
        <v>7</v>
      </c>
      <c r="E55" s="14">
        <v>5.7</v>
      </c>
      <c r="F55" s="14">
        <f>12-E55</f>
        <v>6.3</v>
      </c>
    </row>
    <row r="56" spans="4:6" ht="12.75">
      <c r="D56" s="14" t="s">
        <v>9</v>
      </c>
      <c r="E56" s="14">
        <v>5.3</v>
      </c>
      <c r="F56" s="14">
        <f>11.2-E56</f>
        <v>5.8999999999999995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14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54.421875" style="0" customWidth="1"/>
    <col min="2" max="2" width="51.7109375" style="0" customWidth="1"/>
    <col min="3" max="3" width="100.7109375" style="0" customWidth="1"/>
    <col min="4" max="4" width="28.57421875" style="16" customWidth="1"/>
    <col min="5" max="6" width="9.140625" style="16" customWidth="1"/>
  </cols>
  <sheetData>
    <row r="1" ht="15.75" customHeight="1">
      <c r="A1" s="2" t="s">
        <v>107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108</v>
      </c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112</v>
      </c>
      <c r="F7" s="14">
        <f>362-E7</f>
        <v>250</v>
      </c>
    </row>
    <row r="8" spans="4:6" ht="12.75">
      <c r="D8" s="14" t="s">
        <v>8</v>
      </c>
      <c r="E8" s="14">
        <v>714</v>
      </c>
      <c r="F8" s="14">
        <f>1465-E8</f>
        <v>751</v>
      </c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3098</v>
      </c>
    </row>
    <row r="13" spans="4:5" ht="12.75">
      <c r="D13" s="14" t="s">
        <v>18</v>
      </c>
      <c r="E13" s="14">
        <v>483</v>
      </c>
    </row>
    <row r="14" spans="4:5" ht="12.75">
      <c r="D14" s="14" t="s">
        <v>19</v>
      </c>
      <c r="E14" s="14">
        <v>272</v>
      </c>
    </row>
    <row r="15" spans="4:5" ht="12.75">
      <c r="D15" s="14" t="s">
        <v>20</v>
      </c>
      <c r="E15" s="14">
        <v>152</v>
      </c>
    </row>
    <row r="16" spans="4:5" ht="12.75">
      <c r="D16" s="14" t="s">
        <v>21</v>
      </c>
      <c r="E16" s="14">
        <v>55</v>
      </c>
    </row>
    <row r="22" spans="1:2" ht="12.75" customHeight="1">
      <c r="A22" s="9" t="s">
        <v>109</v>
      </c>
      <c r="B22" s="10" t="s">
        <v>111</v>
      </c>
    </row>
    <row r="23" spans="1:2" ht="12.75">
      <c r="A23" s="9" t="s">
        <v>175</v>
      </c>
      <c r="B23" s="9" t="s">
        <v>22</v>
      </c>
    </row>
    <row r="24" spans="1:2" ht="12.75">
      <c r="A24" s="9" t="s">
        <v>110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18.9</v>
      </c>
      <c r="F28" s="14">
        <f>32.2-E28</f>
        <v>13.300000000000004</v>
      </c>
    </row>
    <row r="29" spans="1:6" ht="12.75">
      <c r="A29" s="9"/>
      <c r="B29" s="7"/>
      <c r="D29" s="14" t="s">
        <v>8</v>
      </c>
      <c r="E29" s="14">
        <v>0</v>
      </c>
      <c r="F29" s="14">
        <f>10.2-E29</f>
        <v>10.2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0.52</v>
      </c>
      <c r="F33" s="14">
        <f>1.63-E33</f>
        <v>1.1099999999999999</v>
      </c>
    </row>
    <row r="34" spans="1:6" ht="12.75">
      <c r="A34" s="9"/>
      <c r="B34" s="7"/>
      <c r="D34" s="14" t="s">
        <v>8</v>
      </c>
      <c r="E34" s="14">
        <v>0</v>
      </c>
      <c r="F34" s="14">
        <v>0.16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41</v>
      </c>
      <c r="B43" s="9" t="s">
        <v>114</v>
      </c>
    </row>
    <row r="44" spans="1:2" ht="12.75">
      <c r="A44" s="9" t="s">
        <v>112</v>
      </c>
      <c r="B44" s="9" t="s">
        <v>115</v>
      </c>
    </row>
    <row r="45" spans="1:3" ht="12.75">
      <c r="A45" s="9" t="s">
        <v>113</v>
      </c>
      <c r="B45" s="9" t="s">
        <v>116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14.4</v>
      </c>
      <c r="F49" s="14">
        <f>35.4-E49</f>
        <v>21</v>
      </c>
    </row>
    <row r="50" spans="4:6" ht="12.75">
      <c r="D50" s="14" t="s">
        <v>7</v>
      </c>
      <c r="E50" s="14">
        <v>1.5</v>
      </c>
      <c r="F50" s="14">
        <f>13.4-E50</f>
        <v>11.9</v>
      </c>
    </row>
    <row r="51" spans="4:6" ht="12.75">
      <c r="D51" s="14" t="s">
        <v>9</v>
      </c>
      <c r="E51" s="14">
        <v>1.6</v>
      </c>
      <c r="F51" s="14">
        <f>8.3-E51</f>
        <v>6.700000000000001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12.3</v>
      </c>
      <c r="F54" s="14">
        <f>26.1-E54</f>
        <v>13.8</v>
      </c>
    </row>
    <row r="55" spans="4:6" ht="12.75">
      <c r="D55" s="14" t="s">
        <v>7</v>
      </c>
      <c r="E55" s="14">
        <v>1.3</v>
      </c>
      <c r="F55" s="14">
        <f>11.3-E55</f>
        <v>10</v>
      </c>
    </row>
    <row r="56" spans="4:6" ht="12.75">
      <c r="D56" s="14" t="s">
        <v>9</v>
      </c>
      <c r="E56" s="14">
        <v>1.6</v>
      </c>
      <c r="F56" s="14">
        <f>8.2-E56</f>
        <v>6.6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14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="130" zoomScaleNormal="130" workbookViewId="0" topLeftCell="A1">
      <selection activeCell="B5" sqref="B5"/>
    </sheetView>
  </sheetViews>
  <sheetFormatPr defaultColWidth="9.140625" defaultRowHeight="12.75"/>
  <cols>
    <col min="1" max="1" width="53.140625" style="0" customWidth="1"/>
    <col min="2" max="2" width="51.7109375" style="0" customWidth="1"/>
    <col min="3" max="3" width="100.7109375" style="0" customWidth="1"/>
    <col min="4" max="4" width="28.57421875" style="0" customWidth="1"/>
  </cols>
  <sheetData>
    <row r="1" ht="15.75" customHeight="1">
      <c r="A1" s="2" t="s">
        <v>36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60</v>
      </c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19</v>
      </c>
      <c r="F7" s="14">
        <f>105-E7</f>
        <v>86</v>
      </c>
    </row>
    <row r="8" spans="4:6" ht="12.75">
      <c r="D8" s="14" t="s">
        <v>8</v>
      </c>
      <c r="E8" s="14">
        <v>362</v>
      </c>
      <c r="F8" s="14">
        <f>871-E8</f>
        <v>509</v>
      </c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336</v>
      </c>
    </row>
    <row r="13" spans="4:5" ht="12.75">
      <c r="D13" s="14" t="s">
        <v>18</v>
      </c>
      <c r="E13" s="14">
        <v>127</v>
      </c>
    </row>
    <row r="14" spans="4:5" ht="12.75">
      <c r="D14" s="14" t="s">
        <v>19</v>
      </c>
      <c r="E14" s="14">
        <v>105</v>
      </c>
    </row>
    <row r="15" spans="4:5" ht="12.75">
      <c r="D15" s="14" t="s">
        <v>20</v>
      </c>
      <c r="E15" s="14">
        <v>53</v>
      </c>
    </row>
    <row r="16" spans="4:5" ht="12.75">
      <c r="D16" s="14" t="s">
        <v>21</v>
      </c>
      <c r="E16" s="14">
        <v>20</v>
      </c>
    </row>
    <row r="22" spans="1:2" ht="12.75" customHeight="1">
      <c r="A22" s="9" t="s">
        <v>169</v>
      </c>
      <c r="B22" s="10" t="s">
        <v>170</v>
      </c>
    </row>
    <row r="23" spans="1:2" ht="12.75">
      <c r="A23" s="9" t="s">
        <v>40</v>
      </c>
      <c r="B23" s="9" t="s">
        <v>22</v>
      </c>
    </row>
    <row r="24" spans="1:2" ht="12.75">
      <c r="A24" s="9" t="s">
        <v>39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19.2</v>
      </c>
      <c r="F28" s="14">
        <f>28.2-E28</f>
        <v>9</v>
      </c>
    </row>
    <row r="29" spans="1:6" ht="12.75">
      <c r="A29" s="9"/>
      <c r="B29" s="7"/>
      <c r="D29" s="14" t="s">
        <v>8</v>
      </c>
      <c r="E29" s="14">
        <v>4.8</v>
      </c>
      <c r="F29" s="14">
        <f>12.8-E29</f>
        <v>8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0.28</v>
      </c>
      <c r="F33" s="14">
        <f>0.72-E33</f>
        <v>0.43999999999999995</v>
      </c>
    </row>
    <row r="34" spans="1:6" ht="12.75">
      <c r="A34" s="9"/>
      <c r="B34" s="7"/>
      <c r="D34" s="14" t="s">
        <v>8</v>
      </c>
      <c r="E34" s="14">
        <v>0</v>
      </c>
      <c r="F34" s="14">
        <v>0.11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41</v>
      </c>
      <c r="B43" s="9" t="s">
        <v>70</v>
      </c>
    </row>
    <row r="44" spans="1:2" ht="12.75">
      <c r="A44" s="9" t="s">
        <v>42</v>
      </c>
      <c r="B44" s="9" t="s">
        <v>57</v>
      </c>
    </row>
    <row r="45" spans="1:3" ht="12.75">
      <c r="A45" s="9" t="s">
        <v>43</v>
      </c>
      <c r="B45" s="9" t="s">
        <v>73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15.4</v>
      </c>
      <c r="F49" s="14">
        <f>37.5-E49</f>
        <v>22.1</v>
      </c>
    </row>
    <row r="50" spans="4:6" ht="12.75">
      <c r="D50" s="14" t="s">
        <v>7</v>
      </c>
      <c r="E50" s="14">
        <v>5.5</v>
      </c>
      <c r="F50" s="14">
        <f>18.7-E50</f>
        <v>13.2</v>
      </c>
    </row>
    <row r="51" spans="4:6" ht="12.75">
      <c r="D51" s="14" t="s">
        <v>9</v>
      </c>
      <c r="E51" s="14">
        <v>1.1</v>
      </c>
      <c r="F51" s="14">
        <f>6.4-E51</f>
        <v>5.300000000000001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11.4</v>
      </c>
      <c r="F54" s="14">
        <f>22.1-E54</f>
        <v>10.700000000000001</v>
      </c>
    </row>
    <row r="55" spans="4:6" ht="12.75">
      <c r="D55" s="14" t="s">
        <v>7</v>
      </c>
      <c r="E55" s="14">
        <v>4.3</v>
      </c>
      <c r="F55" s="14">
        <f>12.8-E55</f>
        <v>8.5</v>
      </c>
    </row>
    <row r="56" spans="4:6" ht="12.75">
      <c r="D56" s="14" t="s">
        <v>9</v>
      </c>
      <c r="E56" s="14">
        <v>1.1</v>
      </c>
      <c r="F56" s="14">
        <f>6.3-E56</f>
        <v>5.199999999999999</v>
      </c>
    </row>
    <row r="66" spans="1:2" ht="12.75">
      <c r="A66" s="12" t="s">
        <v>13</v>
      </c>
      <c r="B66" s="12" t="s">
        <v>34</v>
      </c>
    </row>
    <row r="67" spans="1:2" ht="12.75">
      <c r="A67" s="12" t="s">
        <v>59</v>
      </c>
      <c r="B67" s="12" t="s">
        <v>58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54.140625" style="0" customWidth="1"/>
    <col min="2" max="2" width="51.7109375" style="0" customWidth="1"/>
    <col min="3" max="3" width="100.7109375" style="0" customWidth="1"/>
    <col min="4" max="4" width="28.57421875" style="0" customWidth="1"/>
  </cols>
  <sheetData>
    <row r="1" ht="15.75" customHeight="1">
      <c r="A1" s="2" t="s">
        <v>38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64</v>
      </c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34</v>
      </c>
      <c r="F7" s="14">
        <f>226-E7</f>
        <v>192</v>
      </c>
    </row>
    <row r="8" spans="4:6" ht="12.75">
      <c r="D8" s="14" t="s">
        <v>8</v>
      </c>
      <c r="E8" s="14">
        <v>614</v>
      </c>
      <c r="F8" s="14">
        <f>2156-E8</f>
        <v>1542</v>
      </c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886</v>
      </c>
    </row>
    <row r="13" spans="4:5" ht="12.75">
      <c r="D13" s="14" t="s">
        <v>18</v>
      </c>
      <c r="E13" s="14">
        <v>229</v>
      </c>
    </row>
    <row r="14" spans="4:5" ht="12.75">
      <c r="D14" s="14" t="s">
        <v>19</v>
      </c>
      <c r="E14" s="14">
        <v>181</v>
      </c>
    </row>
    <row r="15" spans="4:5" ht="12.75">
      <c r="D15" s="14" t="s">
        <v>20</v>
      </c>
      <c r="E15" s="14">
        <v>179</v>
      </c>
    </row>
    <row r="16" spans="4:5" ht="12.75">
      <c r="D16" s="14" t="s">
        <v>21</v>
      </c>
      <c r="E16" s="14">
        <v>90</v>
      </c>
    </row>
    <row r="22" spans="1:2" ht="12.75" customHeight="1">
      <c r="A22" s="9" t="s">
        <v>49</v>
      </c>
      <c r="B22" s="10" t="s">
        <v>61</v>
      </c>
    </row>
    <row r="23" spans="1:2" ht="12.75">
      <c r="A23" s="9" t="s">
        <v>50</v>
      </c>
      <c r="B23" s="9" t="s">
        <v>22</v>
      </c>
    </row>
    <row r="24" spans="1:2" ht="12.75">
      <c r="A24" s="9" t="s">
        <v>51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20.4</v>
      </c>
      <c r="F28" s="14">
        <f>32.2-E28</f>
        <v>11.800000000000004</v>
      </c>
    </row>
    <row r="29" spans="1:6" ht="12.75">
      <c r="A29" s="9"/>
      <c r="B29" s="7"/>
      <c r="D29" s="14" t="s">
        <v>8</v>
      </c>
      <c r="E29" s="14">
        <v>5.8</v>
      </c>
      <c r="F29" s="14">
        <f>13.8-E29</f>
        <v>8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0.31</v>
      </c>
      <c r="F33" s="14">
        <f>0.97-E33</f>
        <v>0.6599999999999999</v>
      </c>
    </row>
    <row r="34" spans="1:6" ht="12.75">
      <c r="A34" s="9"/>
      <c r="B34" s="7"/>
      <c r="D34" s="14" t="s">
        <v>8</v>
      </c>
      <c r="E34" s="14">
        <v>0.01</v>
      </c>
      <c r="F34" s="14">
        <v>0.11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44</v>
      </c>
      <c r="B43" s="9" t="s">
        <v>75</v>
      </c>
    </row>
    <row r="44" spans="1:2" ht="12.75">
      <c r="A44" s="9" t="s">
        <v>45</v>
      </c>
      <c r="B44" s="9" t="s">
        <v>56</v>
      </c>
    </row>
    <row r="45" spans="1:3" ht="12.75">
      <c r="A45" s="9" t="s">
        <v>46</v>
      </c>
      <c r="B45" s="9" t="s">
        <v>74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17.3</v>
      </c>
      <c r="F49" s="14">
        <f>44.9-E49</f>
        <v>27.599999999999998</v>
      </c>
    </row>
    <row r="50" spans="4:6" ht="12.75">
      <c r="D50" s="14" t="s">
        <v>7</v>
      </c>
      <c r="E50" s="14">
        <v>6.3</v>
      </c>
      <c r="F50" s="14">
        <f>19-E50</f>
        <v>12.7</v>
      </c>
    </row>
    <row r="51" spans="4:6" ht="12.75">
      <c r="D51" s="14" t="s">
        <v>9</v>
      </c>
      <c r="E51" s="14">
        <v>2.7</v>
      </c>
      <c r="F51" s="14">
        <f>11.5-E51</f>
        <v>8.8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14.2</v>
      </c>
      <c r="F54" s="14">
        <f>27.5-E54</f>
        <v>13.3</v>
      </c>
    </row>
    <row r="55" spans="4:6" ht="12.75">
      <c r="D55" s="14" t="s">
        <v>7</v>
      </c>
      <c r="E55" s="14">
        <v>5.5</v>
      </c>
      <c r="F55" s="14">
        <f>14.8-E55</f>
        <v>9.3</v>
      </c>
    </row>
    <row r="56" spans="4:6" ht="12.75">
      <c r="D56" s="14" t="s">
        <v>9</v>
      </c>
      <c r="E56" s="14">
        <v>2.7</v>
      </c>
      <c r="F56" s="14">
        <f>11.5-E56</f>
        <v>8.8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63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2" width="51.7109375" style="0" customWidth="1"/>
    <col min="3" max="3" width="100.7109375" style="0" customWidth="1"/>
    <col min="4" max="4" width="28.57421875" style="0" customWidth="1"/>
  </cols>
  <sheetData>
    <row r="1" ht="15.75" customHeight="1">
      <c r="A1" s="2" t="s">
        <v>37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65</v>
      </c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9</v>
      </c>
      <c r="F7" s="14">
        <f>42-E7</f>
        <v>33</v>
      </c>
    </row>
    <row r="8" spans="4:6" ht="12.75">
      <c r="D8" s="14" t="s">
        <v>8</v>
      </c>
      <c r="E8" s="14">
        <v>142</v>
      </c>
      <c r="F8" s="14">
        <f>378-E8</f>
        <v>236</v>
      </c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523</v>
      </c>
    </row>
    <row r="13" spans="4:5" ht="12.75">
      <c r="D13" s="14" t="s">
        <v>18</v>
      </c>
      <c r="E13" s="14">
        <v>229</v>
      </c>
    </row>
    <row r="14" spans="4:5" ht="12.75">
      <c r="D14" s="14" t="s">
        <v>19</v>
      </c>
      <c r="E14" s="14">
        <v>134</v>
      </c>
    </row>
    <row r="15" spans="4:5" ht="12.75">
      <c r="D15" s="14" t="s">
        <v>20</v>
      </c>
      <c r="E15" s="14">
        <v>65</v>
      </c>
    </row>
    <row r="16" spans="4:5" ht="12.75">
      <c r="D16" s="14" t="s">
        <v>21</v>
      </c>
      <c r="E16" s="14">
        <v>14</v>
      </c>
    </row>
    <row r="22" spans="1:2" ht="12.75" customHeight="1">
      <c r="A22" s="9" t="s">
        <v>52</v>
      </c>
      <c r="B22" s="10" t="s">
        <v>62</v>
      </c>
    </row>
    <row r="23" spans="1:2" ht="12.75">
      <c r="A23" s="9" t="s">
        <v>53</v>
      </c>
      <c r="B23" s="9" t="s">
        <v>22</v>
      </c>
    </row>
    <row r="24" spans="1:2" ht="12.75">
      <c r="A24" s="9" t="s">
        <v>54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19.4</v>
      </c>
      <c r="F28" s="14">
        <f>29.4-E28</f>
        <v>10</v>
      </c>
    </row>
    <row r="29" spans="1:6" ht="12.75">
      <c r="A29" s="9"/>
      <c r="B29" s="7"/>
      <c r="D29" s="14" t="s">
        <v>8</v>
      </c>
      <c r="E29" s="14">
        <v>5.7</v>
      </c>
      <c r="F29" s="14">
        <f>13.3-E29</f>
        <v>7.6000000000000005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0.33</v>
      </c>
      <c r="F33" s="14">
        <f>0.91-E33</f>
        <v>0.5800000000000001</v>
      </c>
    </row>
    <row r="34" spans="1:6" ht="12.75">
      <c r="A34" s="9"/>
      <c r="B34" s="7"/>
      <c r="D34" s="14" t="s">
        <v>8</v>
      </c>
      <c r="E34" s="14">
        <v>0</v>
      </c>
      <c r="F34" s="14">
        <v>0.11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41</v>
      </c>
      <c r="B43" s="9" t="s">
        <v>72</v>
      </c>
    </row>
    <row r="44" spans="1:2" ht="12.75">
      <c r="A44" s="9" t="s">
        <v>47</v>
      </c>
      <c r="B44" s="9" t="s">
        <v>55</v>
      </c>
    </row>
    <row r="45" spans="1:3" ht="12.75">
      <c r="A45" s="9" t="s">
        <v>48</v>
      </c>
      <c r="B45" s="9" t="s">
        <v>73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17.7</v>
      </c>
      <c r="F49" s="14">
        <f>45.3-E49</f>
        <v>27.599999999999998</v>
      </c>
    </row>
    <row r="50" spans="4:6" ht="12.75">
      <c r="D50" s="14" t="s">
        <v>7</v>
      </c>
      <c r="E50" s="14">
        <v>7.9</v>
      </c>
      <c r="F50" s="14">
        <f>25.9-E50</f>
        <v>18</v>
      </c>
    </row>
    <row r="51" spans="4:6" ht="12.75">
      <c r="D51" s="14" t="s">
        <v>9</v>
      </c>
      <c r="E51" s="14">
        <v>5.2</v>
      </c>
      <c r="F51" s="14">
        <f>12-E51</f>
        <v>6.8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13</v>
      </c>
      <c r="F54" s="14">
        <f>24.6-E54</f>
        <v>11.600000000000001</v>
      </c>
    </row>
    <row r="55" spans="4:6" ht="12.75">
      <c r="D55" s="14" t="s">
        <v>7</v>
      </c>
      <c r="E55" s="14">
        <v>6.1</v>
      </c>
      <c r="F55" s="14">
        <f>14.9-E55</f>
        <v>8.8</v>
      </c>
    </row>
    <row r="56" spans="4:6" ht="12.75">
      <c r="D56" s="14" t="s">
        <v>9</v>
      </c>
      <c r="E56" s="14">
        <v>5.2</v>
      </c>
      <c r="F56" s="14">
        <f>11.8-E56</f>
        <v>6.6000000000000005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66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2" width="51.7109375" style="0" customWidth="1"/>
    <col min="3" max="3" width="100.7109375" style="0" customWidth="1"/>
    <col min="4" max="4" width="28.57421875" style="16" customWidth="1"/>
    <col min="5" max="6" width="9.140625" style="16" customWidth="1"/>
  </cols>
  <sheetData>
    <row r="1" ht="15.75" customHeight="1">
      <c r="A1" s="2" t="s">
        <v>129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130</v>
      </c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17</v>
      </c>
      <c r="F7" s="14">
        <f>109-E7</f>
        <v>92</v>
      </c>
    </row>
    <row r="8" spans="4:6" ht="12.75">
      <c r="D8" s="14" t="s">
        <v>8</v>
      </c>
      <c r="E8" s="14">
        <v>504</v>
      </c>
      <c r="F8" s="14">
        <f>1361-E8</f>
        <v>857</v>
      </c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1860</v>
      </c>
    </row>
    <row r="13" spans="4:5" ht="12.75">
      <c r="D13" s="14" t="s">
        <v>18</v>
      </c>
      <c r="E13" s="14">
        <v>402</v>
      </c>
    </row>
    <row r="14" spans="4:5" ht="12.75">
      <c r="D14" s="14" t="s">
        <v>19</v>
      </c>
      <c r="E14" s="14">
        <v>266</v>
      </c>
    </row>
    <row r="15" spans="4:5" ht="12.75">
      <c r="D15" s="14" t="s">
        <v>20</v>
      </c>
      <c r="E15" s="14">
        <v>171</v>
      </c>
    </row>
    <row r="16" spans="4:5" ht="12.75">
      <c r="D16" s="14" t="s">
        <v>21</v>
      </c>
      <c r="E16" s="14">
        <v>35</v>
      </c>
    </row>
    <row r="22" spans="1:2" ht="12.75" customHeight="1">
      <c r="A22" s="9" t="s">
        <v>137</v>
      </c>
      <c r="B22" s="10" t="s">
        <v>148</v>
      </c>
    </row>
    <row r="23" spans="1:2" ht="12.75">
      <c r="A23" s="9" t="s">
        <v>138</v>
      </c>
      <c r="B23" s="9" t="s">
        <v>22</v>
      </c>
    </row>
    <row r="24" spans="1:2" ht="12.75">
      <c r="A24" s="9" t="s">
        <v>139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19.1</v>
      </c>
      <c r="F28" s="14">
        <f>30.7-E28</f>
        <v>11.599999999999998</v>
      </c>
    </row>
    <row r="29" spans="1:6" ht="12.75">
      <c r="A29" s="9"/>
      <c r="B29" s="7"/>
      <c r="D29" s="14" t="s">
        <v>8</v>
      </c>
      <c r="E29" s="14">
        <v>4.8</v>
      </c>
      <c r="F29" s="14">
        <f>11.9-E29</f>
        <v>7.1000000000000005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0.45</v>
      </c>
      <c r="F33" s="14">
        <f>1.18-E33</f>
        <v>0.73</v>
      </c>
    </row>
    <row r="34" spans="1:6" ht="12.75">
      <c r="A34" s="9"/>
      <c r="B34" s="7"/>
      <c r="D34" s="14" t="s">
        <v>8</v>
      </c>
      <c r="E34" s="14">
        <v>0.04</v>
      </c>
      <c r="F34" s="14">
        <v>0.14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41</v>
      </c>
      <c r="B43" s="9" t="s">
        <v>159</v>
      </c>
    </row>
    <row r="44" spans="1:2" ht="12.75">
      <c r="A44" s="9" t="s">
        <v>152</v>
      </c>
      <c r="B44" s="9" t="s">
        <v>160</v>
      </c>
    </row>
    <row r="45" spans="1:3" ht="12.75">
      <c r="A45" s="9" t="s">
        <v>153</v>
      </c>
      <c r="B45" s="9" t="s">
        <v>104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16.9</v>
      </c>
      <c r="F49" s="14">
        <f>42.5-E49</f>
        <v>25.6</v>
      </c>
    </row>
    <row r="50" spans="4:6" ht="12.75">
      <c r="D50" s="14" t="s">
        <v>7</v>
      </c>
      <c r="E50" s="14">
        <v>6.1</v>
      </c>
      <c r="F50" s="14">
        <f>16.2-E50</f>
        <v>10.1</v>
      </c>
    </row>
    <row r="51" spans="4:6" ht="12.75">
      <c r="D51" s="14" t="s">
        <v>9</v>
      </c>
      <c r="E51" s="14">
        <v>4.5</v>
      </c>
      <c r="F51" s="14">
        <f>9.9-E51</f>
        <v>5.4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13.7</v>
      </c>
      <c r="F54" s="14">
        <f>25.4-E54</f>
        <v>11.7</v>
      </c>
    </row>
    <row r="55" spans="4:6" ht="12.75">
      <c r="D55" s="14" t="s">
        <v>7</v>
      </c>
      <c r="E55" s="14">
        <v>5.3</v>
      </c>
      <c r="F55" s="14">
        <f>13.2-E55</f>
        <v>7.8999999999999995</v>
      </c>
    </row>
    <row r="56" spans="4:6" ht="12.75">
      <c r="D56" s="14" t="s">
        <v>9</v>
      </c>
      <c r="E56" s="14">
        <v>4.4</v>
      </c>
      <c r="F56" s="14">
        <f>9.8-E56</f>
        <v>5.4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171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2" width="51.7109375" style="0" customWidth="1"/>
    <col min="3" max="3" width="100.7109375" style="0" customWidth="1"/>
    <col min="4" max="4" width="28.57421875" style="0" customWidth="1"/>
  </cols>
  <sheetData>
    <row r="1" spans="1:6" ht="15.75" customHeight="1">
      <c r="A1" s="2" t="s">
        <v>67</v>
      </c>
      <c r="D1" s="16"/>
      <c r="E1" s="16"/>
      <c r="F1" s="16"/>
    </row>
    <row r="2" spans="1:6" ht="12.75">
      <c r="A2" s="1" t="s">
        <v>4</v>
      </c>
      <c r="D2" s="16"/>
      <c r="E2" s="16"/>
      <c r="F2" s="16"/>
    </row>
    <row r="3" spans="1:6" ht="12.75">
      <c r="A3" s="11" t="s">
        <v>5</v>
      </c>
      <c r="D3" s="16"/>
      <c r="E3" s="16"/>
      <c r="F3" s="16"/>
    </row>
    <row r="4" spans="1:6" ht="12.75">
      <c r="A4" s="1" t="s">
        <v>68</v>
      </c>
      <c r="D4" s="16"/>
      <c r="E4" s="16"/>
      <c r="F4" s="16"/>
    </row>
    <row r="5" spans="4:6" ht="12.75">
      <c r="D5" s="16"/>
      <c r="E5" s="16"/>
      <c r="F5" s="16"/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70</v>
      </c>
      <c r="F7" s="14">
        <f>273-E7</f>
        <v>203</v>
      </c>
    </row>
    <row r="8" spans="4:6" ht="12.75">
      <c r="D8" s="14" t="s">
        <v>8</v>
      </c>
      <c r="E8" s="14">
        <v>231</v>
      </c>
      <c r="F8" s="14">
        <f>710-E8</f>
        <v>479</v>
      </c>
    </row>
    <row r="9" spans="4:6" ht="12.75">
      <c r="D9" s="16"/>
      <c r="E9" s="16"/>
      <c r="F9" s="16"/>
    </row>
    <row r="10" spans="4:6" ht="12.75">
      <c r="D10" s="16"/>
      <c r="E10" s="16"/>
      <c r="F10" s="16"/>
    </row>
    <row r="11" spans="4:6" ht="12.75">
      <c r="D11" s="13" t="s">
        <v>15</v>
      </c>
      <c r="E11" s="14" t="s">
        <v>16</v>
      </c>
      <c r="F11" s="16"/>
    </row>
    <row r="12" spans="4:6" ht="12.75">
      <c r="D12" s="14" t="s">
        <v>17</v>
      </c>
      <c r="E12" s="15">
        <v>414</v>
      </c>
      <c r="F12" s="16"/>
    </row>
    <row r="13" spans="4:6" ht="12.75">
      <c r="D13" s="14" t="s">
        <v>18</v>
      </c>
      <c r="E13" s="14">
        <v>160</v>
      </c>
      <c r="F13" s="16"/>
    </row>
    <row r="14" spans="4:6" ht="12.75">
      <c r="D14" s="14" t="s">
        <v>19</v>
      </c>
      <c r="E14" s="14">
        <v>73</v>
      </c>
      <c r="F14" s="16"/>
    </row>
    <row r="15" spans="4:6" ht="12.75">
      <c r="D15" s="14" t="s">
        <v>20</v>
      </c>
      <c r="E15" s="14">
        <v>25</v>
      </c>
      <c r="F15" s="16"/>
    </row>
    <row r="16" spans="4:6" ht="12.75">
      <c r="D16" s="14" t="s">
        <v>21</v>
      </c>
      <c r="E16" s="14">
        <v>1</v>
      </c>
      <c r="F16" s="16"/>
    </row>
    <row r="17" spans="4:6" ht="12.75">
      <c r="D17" s="16"/>
      <c r="E17" s="16"/>
      <c r="F17" s="16"/>
    </row>
    <row r="18" spans="4:6" ht="12.75">
      <c r="D18" s="16"/>
      <c r="E18" s="16"/>
      <c r="F18" s="16"/>
    </row>
    <row r="19" spans="4:6" ht="12.75">
      <c r="D19" s="16"/>
      <c r="E19" s="16"/>
      <c r="F19" s="16"/>
    </row>
    <row r="20" spans="4:6" ht="12.75">
      <c r="D20" s="16"/>
      <c r="E20" s="16"/>
      <c r="F20" s="16"/>
    </row>
    <row r="21" spans="4:6" ht="12.75">
      <c r="D21" s="16"/>
      <c r="E21" s="16"/>
      <c r="F21" s="16"/>
    </row>
    <row r="22" spans="1:6" ht="12.75" customHeight="1">
      <c r="A22" s="9" t="s">
        <v>78</v>
      </c>
      <c r="B22" s="10" t="s">
        <v>80</v>
      </c>
      <c r="D22" s="16"/>
      <c r="E22" s="16"/>
      <c r="F22" s="16"/>
    </row>
    <row r="23" spans="1:6" ht="12.75">
      <c r="A23" s="9" t="s">
        <v>79</v>
      </c>
      <c r="B23" s="9" t="s">
        <v>22</v>
      </c>
      <c r="D23" s="16"/>
      <c r="E23" s="16"/>
      <c r="F23" s="16"/>
    </row>
    <row r="24" spans="1:6" ht="12.75">
      <c r="A24" s="9" t="s">
        <v>77</v>
      </c>
      <c r="B24" s="7"/>
      <c r="D24" s="16"/>
      <c r="E24" s="16"/>
      <c r="F24" s="16"/>
    </row>
    <row r="25" spans="1:6" ht="12.75">
      <c r="A25" s="9"/>
      <c r="B25" s="7"/>
      <c r="D25" s="16"/>
      <c r="E25" s="16"/>
      <c r="F25" s="16"/>
    </row>
    <row r="26" spans="1:6" ht="12.75">
      <c r="A26" s="9"/>
      <c r="B26" s="7"/>
      <c r="D26" s="16"/>
      <c r="E26" s="16"/>
      <c r="F26" s="16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14.4</v>
      </c>
      <c r="F28" s="14">
        <f>20.1-E28</f>
        <v>5.700000000000001</v>
      </c>
    </row>
    <row r="29" spans="1:6" ht="12.75">
      <c r="A29" s="9"/>
      <c r="B29" s="7"/>
      <c r="D29" s="14" t="s">
        <v>8</v>
      </c>
      <c r="E29" s="14">
        <v>2.4</v>
      </c>
      <c r="F29" s="14">
        <f>9.2-E29</f>
        <v>6.799999999999999</v>
      </c>
    </row>
    <row r="30" spans="1:6" ht="12.75">
      <c r="A30" s="9"/>
      <c r="B30" s="7"/>
      <c r="D30" s="16"/>
      <c r="E30" s="16"/>
      <c r="F30" s="16"/>
    </row>
    <row r="31" spans="1:6" ht="12.75">
      <c r="A31" s="9"/>
      <c r="B31" s="7"/>
      <c r="D31" s="16"/>
      <c r="E31" s="16"/>
      <c r="F31" s="16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0.28</v>
      </c>
      <c r="F33" s="14">
        <f>0.7-E33</f>
        <v>0.41999999999999993</v>
      </c>
    </row>
    <row r="34" spans="1:6" ht="12.75">
      <c r="A34" s="9"/>
      <c r="B34" s="7"/>
      <c r="D34" s="14" t="s">
        <v>8</v>
      </c>
      <c r="E34" s="14">
        <v>0</v>
      </c>
      <c r="F34" s="14">
        <v>0.09</v>
      </c>
    </row>
    <row r="35" spans="1:6" ht="12.75">
      <c r="A35" s="9"/>
      <c r="B35" s="7"/>
      <c r="D35" s="16"/>
      <c r="E35" s="16"/>
      <c r="F35" s="16"/>
    </row>
    <row r="36" spans="1:6" ht="12.75">
      <c r="A36" s="9"/>
      <c r="B36" s="7"/>
      <c r="D36" s="16"/>
      <c r="E36" s="16"/>
      <c r="F36" s="16"/>
    </row>
    <row r="37" spans="1:6" ht="12.75">
      <c r="A37" s="9"/>
      <c r="B37" s="7"/>
      <c r="D37" s="16"/>
      <c r="E37" s="16"/>
      <c r="F37" s="16"/>
    </row>
    <row r="38" spans="1:6" ht="12.75">
      <c r="A38" s="9"/>
      <c r="B38" s="7"/>
      <c r="D38" s="16"/>
      <c r="E38" s="16"/>
      <c r="F38" s="16"/>
    </row>
    <row r="39" spans="1:6" ht="12.75">
      <c r="A39" s="9"/>
      <c r="B39" s="7"/>
      <c r="D39" s="16"/>
      <c r="E39" s="16"/>
      <c r="F39" s="16"/>
    </row>
    <row r="40" spans="1:6" ht="12.75">
      <c r="A40" s="9"/>
      <c r="B40" s="7"/>
      <c r="D40" s="16"/>
      <c r="E40" s="16"/>
      <c r="F40" s="16"/>
    </row>
    <row r="41" spans="1:6" ht="12.75">
      <c r="A41" s="9"/>
      <c r="B41" s="7"/>
      <c r="D41" s="16"/>
      <c r="E41" s="16"/>
      <c r="F41" s="16"/>
    </row>
    <row r="42" spans="1:6" ht="12.75">
      <c r="A42" s="9"/>
      <c r="B42" s="7"/>
      <c r="D42" s="16"/>
      <c r="E42" s="16"/>
      <c r="F42" s="16"/>
    </row>
    <row r="43" spans="1:6" ht="12.75" customHeight="1">
      <c r="A43" s="9" t="s">
        <v>27</v>
      </c>
      <c r="B43" s="9" t="s">
        <v>70</v>
      </c>
      <c r="D43" s="16"/>
      <c r="E43" s="16"/>
      <c r="F43" s="16"/>
    </row>
    <row r="44" spans="1:6" ht="12.75">
      <c r="A44" s="9" t="s">
        <v>81</v>
      </c>
      <c r="B44" s="9" t="s">
        <v>69</v>
      </c>
      <c r="D44" s="16"/>
      <c r="E44" s="16"/>
      <c r="F44" s="16"/>
    </row>
    <row r="45" spans="1:6" ht="12.75">
      <c r="A45" s="9" t="s">
        <v>82</v>
      </c>
      <c r="B45" s="9" t="s">
        <v>71</v>
      </c>
      <c r="C45" s="3"/>
      <c r="D45" s="16"/>
      <c r="E45" s="16"/>
      <c r="F45" s="16"/>
    </row>
    <row r="46" spans="1:6" ht="12.75">
      <c r="A46" s="9"/>
      <c r="C46" s="3"/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10.2</v>
      </c>
      <c r="F49" s="14">
        <f>18.2-E49</f>
        <v>8</v>
      </c>
    </row>
    <row r="50" spans="4:6" ht="12.75">
      <c r="D50" s="14" t="s">
        <v>7</v>
      </c>
      <c r="E50" s="14">
        <v>0.7</v>
      </c>
      <c r="F50" s="14">
        <f>9.9-E50</f>
        <v>9.200000000000001</v>
      </c>
    </row>
    <row r="51" spans="4:6" ht="12.75">
      <c r="D51" s="14" t="s">
        <v>9</v>
      </c>
      <c r="E51" s="14">
        <v>1.3</v>
      </c>
      <c r="F51" s="14">
        <f>5.6-E51</f>
        <v>4.3</v>
      </c>
    </row>
    <row r="52" spans="4:6" ht="12.75">
      <c r="D52" s="16"/>
      <c r="E52" s="16"/>
      <c r="F52" s="16"/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9.2</v>
      </c>
      <c r="F54" s="14">
        <f>15.5-E54</f>
        <v>6.300000000000001</v>
      </c>
    </row>
    <row r="55" spans="4:6" ht="12.75">
      <c r="D55" s="14" t="s">
        <v>7</v>
      </c>
      <c r="E55" s="14">
        <v>0.7</v>
      </c>
      <c r="F55" s="14">
        <f>9.1-E55</f>
        <v>8.4</v>
      </c>
    </row>
    <row r="56" spans="4:6" ht="12.75">
      <c r="D56" s="14" t="s">
        <v>9</v>
      </c>
      <c r="E56" s="14">
        <v>1.3</v>
      </c>
      <c r="F56" s="14">
        <f>5.6-E56</f>
        <v>4.3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14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2" width="51.7109375" style="0" customWidth="1"/>
    <col min="3" max="3" width="100.7109375" style="0" customWidth="1"/>
    <col min="4" max="4" width="28.57421875" style="16" customWidth="1"/>
    <col min="5" max="6" width="9.140625" style="16" customWidth="1"/>
  </cols>
  <sheetData>
    <row r="1" ht="15.75" customHeight="1">
      <c r="A1" s="2" t="s">
        <v>131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132</v>
      </c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64</v>
      </c>
      <c r="F7" s="14">
        <f>250-E7</f>
        <v>186</v>
      </c>
    </row>
    <row r="8" spans="4:6" ht="12.75">
      <c r="D8" s="14" t="s">
        <v>8</v>
      </c>
      <c r="E8" s="14">
        <v>228</v>
      </c>
      <c r="F8" s="14">
        <f>699-E8</f>
        <v>471</v>
      </c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2302</v>
      </c>
    </row>
    <row r="13" spans="4:5" ht="12.75">
      <c r="D13" s="14" t="s">
        <v>18</v>
      </c>
      <c r="E13" s="14">
        <v>196</v>
      </c>
    </row>
    <row r="14" spans="4:5" ht="12.75">
      <c r="D14" s="14" t="s">
        <v>19</v>
      </c>
      <c r="E14" s="14">
        <v>66</v>
      </c>
    </row>
    <row r="15" spans="4:5" ht="12.75">
      <c r="D15" s="14" t="s">
        <v>20</v>
      </c>
      <c r="E15" s="14">
        <v>14</v>
      </c>
    </row>
    <row r="16" spans="4:5" ht="12.75">
      <c r="D16" s="14" t="s">
        <v>21</v>
      </c>
      <c r="E16" s="14">
        <v>2</v>
      </c>
    </row>
    <row r="22" spans="1:2" ht="12.75" customHeight="1">
      <c r="A22" s="9" t="s">
        <v>140</v>
      </c>
      <c r="B22" s="10" t="s">
        <v>149</v>
      </c>
    </row>
    <row r="23" spans="1:2" ht="12.75">
      <c r="A23" s="9" t="s">
        <v>141</v>
      </c>
      <c r="B23" s="9" t="s">
        <v>22</v>
      </c>
    </row>
    <row r="24" spans="1:2" ht="12.75">
      <c r="A24" s="9" t="s">
        <v>142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14.2</v>
      </c>
      <c r="F28" s="14">
        <f>18.2-E28</f>
        <v>4</v>
      </c>
    </row>
    <row r="29" spans="1:6" ht="12.75">
      <c r="A29" s="9"/>
      <c r="B29" s="7"/>
      <c r="D29" s="14" t="s">
        <v>8</v>
      </c>
      <c r="E29" s="14">
        <v>5</v>
      </c>
      <c r="F29" s="14">
        <f>10.3-E29</f>
        <v>5.300000000000001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0.69</v>
      </c>
      <c r="F33" s="14">
        <f>1.84-E33</f>
        <v>1.1500000000000001</v>
      </c>
    </row>
    <row r="34" spans="1:6" ht="12.75">
      <c r="A34" s="9"/>
      <c r="B34" s="7"/>
      <c r="D34" s="14" t="s">
        <v>8</v>
      </c>
      <c r="E34" s="14">
        <v>0.01</v>
      </c>
      <c r="F34" s="14">
        <v>0.23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27</v>
      </c>
      <c r="B43" s="9" t="s">
        <v>161</v>
      </c>
    </row>
    <row r="44" spans="1:2" ht="12.75">
      <c r="A44" s="9" t="s">
        <v>154</v>
      </c>
      <c r="B44" s="9" t="s">
        <v>162</v>
      </c>
    </row>
    <row r="45" spans="1:3" ht="12.75">
      <c r="A45" s="9" t="s">
        <v>155</v>
      </c>
      <c r="B45" s="9" t="s">
        <v>163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13.1</v>
      </c>
      <c r="F49" s="14">
        <f>21.5-E49</f>
        <v>8.4</v>
      </c>
    </row>
    <row r="50" spans="4:6" ht="12.75">
      <c r="D50" s="14" t="s">
        <v>7</v>
      </c>
      <c r="E50" s="14">
        <v>5.5</v>
      </c>
      <c r="F50" s="14">
        <f>12.2-E50</f>
        <v>6.699999999999999</v>
      </c>
    </row>
    <row r="51" spans="4:6" ht="12.75">
      <c r="D51" s="14" t="s">
        <v>9</v>
      </c>
      <c r="E51" s="14">
        <v>4.9</v>
      </c>
      <c r="F51" s="14">
        <f>10-E51</f>
        <v>5.1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11.6</v>
      </c>
      <c r="F54" s="14">
        <f>16.9-E54</f>
        <v>5.299999999999999</v>
      </c>
    </row>
    <row r="55" spans="4:6" ht="12.75">
      <c r="D55" s="14" t="s">
        <v>7</v>
      </c>
      <c r="E55" s="14">
        <v>5</v>
      </c>
      <c r="F55" s="14">
        <f>10.7-E55</f>
        <v>5.699999999999999</v>
      </c>
    </row>
    <row r="56" spans="4:6" ht="12.75">
      <c r="D56" s="14" t="s">
        <v>9</v>
      </c>
      <c r="E56" s="14">
        <v>4.9</v>
      </c>
      <c r="F56" s="14">
        <f>10-E56</f>
        <v>5.1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14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2" width="51.7109375" style="0" customWidth="1"/>
    <col min="3" max="3" width="100.7109375" style="0" customWidth="1"/>
    <col min="4" max="4" width="28.57421875" style="16" customWidth="1"/>
    <col min="5" max="6" width="9.140625" style="16" customWidth="1"/>
  </cols>
  <sheetData>
    <row r="1" ht="15.75" customHeight="1">
      <c r="A1" s="2" t="s">
        <v>133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134</v>
      </c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11</v>
      </c>
      <c r="F7" s="14">
        <f>49-E7</f>
        <v>38</v>
      </c>
    </row>
    <row r="8" spans="4:6" ht="12.75">
      <c r="D8" s="14" t="s">
        <v>8</v>
      </c>
      <c r="E8" s="14">
        <v>84</v>
      </c>
      <c r="F8" s="14">
        <f>237-E8</f>
        <v>153</v>
      </c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1724</v>
      </c>
    </row>
    <row r="13" spans="4:5" ht="12.75">
      <c r="D13" s="14" t="s">
        <v>18</v>
      </c>
      <c r="E13" s="14">
        <v>676</v>
      </c>
    </row>
    <row r="14" spans="4:5" ht="12.75">
      <c r="D14" s="14" t="s">
        <v>19</v>
      </c>
      <c r="E14" s="14">
        <v>530</v>
      </c>
    </row>
    <row r="15" spans="4:5" ht="12.75">
      <c r="D15" s="14" t="s">
        <v>20</v>
      </c>
      <c r="E15" s="14">
        <v>324</v>
      </c>
    </row>
    <row r="16" spans="4:5" ht="12.75">
      <c r="D16" s="14" t="s">
        <v>21</v>
      </c>
      <c r="E16" s="14">
        <v>75</v>
      </c>
    </row>
    <row r="22" spans="1:2" ht="12.75" customHeight="1">
      <c r="A22" s="9" t="s">
        <v>172</v>
      </c>
      <c r="B22" s="10" t="s">
        <v>150</v>
      </c>
    </row>
    <row r="23" spans="1:2" ht="12.75">
      <c r="A23" s="9" t="s">
        <v>143</v>
      </c>
      <c r="B23" s="9" t="s">
        <v>22</v>
      </c>
    </row>
    <row r="24" spans="1:2" ht="12.75">
      <c r="A24" s="9" t="s">
        <v>144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19.8</v>
      </c>
      <c r="F28" s="14">
        <f>29.4-E28</f>
        <v>9.599999999999998</v>
      </c>
    </row>
    <row r="29" spans="1:6" ht="12.75">
      <c r="A29" s="9"/>
      <c r="B29" s="7"/>
      <c r="D29" s="14" t="s">
        <v>8</v>
      </c>
      <c r="E29" s="14">
        <v>4.1</v>
      </c>
      <c r="F29" s="14">
        <f>12.8-E29</f>
        <v>8.700000000000001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0.37</v>
      </c>
      <c r="F33" s="14">
        <f>0.99-E33</f>
        <v>0.62</v>
      </c>
    </row>
    <row r="34" spans="1:6" ht="12.75">
      <c r="A34" s="9"/>
      <c r="B34" s="7"/>
      <c r="D34" s="14" t="s">
        <v>8</v>
      </c>
      <c r="E34" s="14">
        <v>0</v>
      </c>
      <c r="F34" s="14">
        <v>0.14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44</v>
      </c>
      <c r="B43" s="9" t="s">
        <v>164</v>
      </c>
    </row>
    <row r="44" spans="1:2" ht="12.75">
      <c r="A44" s="9" t="s">
        <v>173</v>
      </c>
      <c r="B44" s="9" t="s">
        <v>165</v>
      </c>
    </row>
    <row r="45" spans="1:3" ht="12.75">
      <c r="A45" s="9" t="s">
        <v>174</v>
      </c>
      <c r="B45" s="9" t="s">
        <v>166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15.4</v>
      </c>
      <c r="F49" s="14">
        <f>28.6-E49</f>
        <v>13.200000000000001</v>
      </c>
    </row>
    <row r="50" spans="4:6" ht="12.75">
      <c r="D50" s="14" t="s">
        <v>7</v>
      </c>
      <c r="E50" s="14">
        <v>3.3</v>
      </c>
      <c r="F50" s="14">
        <f>20-E50</f>
        <v>16.7</v>
      </c>
    </row>
    <row r="51" spans="4:6" ht="12.75">
      <c r="D51" s="14" t="s">
        <v>9</v>
      </c>
      <c r="E51" s="14">
        <v>2.8</v>
      </c>
      <c r="F51" s="14">
        <f>9.2-E51</f>
        <v>6.3999999999999995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10.8</v>
      </c>
      <c r="F54" s="14">
        <f>23-E54</f>
        <v>12.2</v>
      </c>
    </row>
    <row r="55" spans="4:6" ht="12.75">
      <c r="D55" s="14" t="s">
        <v>7</v>
      </c>
      <c r="E55" s="14">
        <v>2.5</v>
      </c>
      <c r="F55" s="14">
        <f>12.8-E55</f>
        <v>10.3</v>
      </c>
    </row>
    <row r="56" spans="4:6" ht="12.75">
      <c r="D56" s="14" t="s">
        <v>9</v>
      </c>
      <c r="E56" s="14">
        <v>2.7</v>
      </c>
      <c r="F56" s="14">
        <f>8.9-E56</f>
        <v>6.2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171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2" width="51.7109375" style="0" customWidth="1"/>
    <col min="3" max="3" width="100.7109375" style="0" customWidth="1"/>
    <col min="4" max="4" width="28.57421875" style="16" customWidth="1"/>
    <col min="5" max="6" width="9.140625" style="16" customWidth="1"/>
  </cols>
  <sheetData>
    <row r="1" ht="15.75" customHeight="1">
      <c r="A1" s="2" t="s">
        <v>135</v>
      </c>
    </row>
    <row r="2" ht="12.75">
      <c r="A2" s="1" t="s">
        <v>4</v>
      </c>
    </row>
    <row r="3" ht="12.75">
      <c r="A3" s="11" t="s">
        <v>5</v>
      </c>
    </row>
    <row r="4" ht="12.75">
      <c r="A4" s="1" t="s">
        <v>136</v>
      </c>
    </row>
    <row r="6" spans="4:6" ht="12.75">
      <c r="D6" s="13" t="s">
        <v>2</v>
      </c>
      <c r="E6" s="14" t="s">
        <v>1</v>
      </c>
      <c r="F6" s="14" t="s">
        <v>10</v>
      </c>
    </row>
    <row r="7" spans="4:6" ht="12.75">
      <c r="D7" s="14" t="s">
        <v>0</v>
      </c>
      <c r="E7" s="14">
        <v>18</v>
      </c>
      <c r="F7" s="14">
        <f>72-E7</f>
        <v>54</v>
      </c>
    </row>
    <row r="8" spans="4:6" ht="12.75">
      <c r="D8" s="14" t="s">
        <v>8</v>
      </c>
      <c r="E8" s="14">
        <v>149</v>
      </c>
      <c r="F8" s="14">
        <f>407-E8</f>
        <v>258</v>
      </c>
    </row>
    <row r="11" spans="4:5" ht="12.75">
      <c r="D11" s="13" t="s">
        <v>15</v>
      </c>
      <c r="E11" s="14" t="s">
        <v>16</v>
      </c>
    </row>
    <row r="12" spans="4:5" ht="12.75">
      <c r="D12" s="14" t="s">
        <v>17</v>
      </c>
      <c r="E12" s="15">
        <v>2635</v>
      </c>
    </row>
    <row r="13" spans="4:5" ht="12.75">
      <c r="D13" s="14" t="s">
        <v>18</v>
      </c>
      <c r="E13" s="14">
        <v>840</v>
      </c>
    </row>
    <row r="14" spans="4:5" ht="12.75">
      <c r="D14" s="14" t="s">
        <v>19</v>
      </c>
      <c r="E14" s="14">
        <v>547</v>
      </c>
    </row>
    <row r="15" spans="4:5" ht="12.75">
      <c r="D15" s="14" t="s">
        <v>20</v>
      </c>
      <c r="E15" s="14">
        <v>193</v>
      </c>
    </row>
    <row r="16" spans="4:5" ht="12.75">
      <c r="D16" s="14" t="s">
        <v>21</v>
      </c>
      <c r="E16" s="14">
        <v>33</v>
      </c>
    </row>
    <row r="22" spans="1:2" ht="12.75" customHeight="1">
      <c r="A22" s="9" t="s">
        <v>145</v>
      </c>
      <c r="B22" s="10" t="s">
        <v>151</v>
      </c>
    </row>
    <row r="23" spans="1:2" ht="12.75">
      <c r="A23" s="9" t="s">
        <v>146</v>
      </c>
      <c r="B23" s="9" t="s">
        <v>22</v>
      </c>
    </row>
    <row r="24" spans="1:2" ht="12.75">
      <c r="A24" s="9" t="s">
        <v>147</v>
      </c>
      <c r="B24" s="7"/>
    </row>
    <row r="25" spans="1:2" ht="12.75">
      <c r="A25" s="9"/>
      <c r="B25" s="7"/>
    </row>
    <row r="26" spans="1:2" ht="12.75">
      <c r="A26" s="9"/>
      <c r="B26" s="7"/>
    </row>
    <row r="27" spans="1:6" ht="12.75">
      <c r="A27" s="9"/>
      <c r="B27" s="7"/>
      <c r="D27" s="13" t="s">
        <v>25</v>
      </c>
      <c r="E27" s="14" t="s">
        <v>1</v>
      </c>
      <c r="F27" s="14" t="s">
        <v>10</v>
      </c>
    </row>
    <row r="28" spans="1:6" ht="12.75">
      <c r="A28" s="9"/>
      <c r="B28" s="7"/>
      <c r="D28" s="14" t="s">
        <v>0</v>
      </c>
      <c r="E28" s="14">
        <v>17.6</v>
      </c>
      <c r="F28" s="14">
        <f>27-E28</f>
        <v>9.399999999999999</v>
      </c>
    </row>
    <row r="29" spans="1:6" ht="12.75">
      <c r="A29" s="9"/>
      <c r="B29" s="7"/>
      <c r="D29" s="14" t="s">
        <v>8</v>
      </c>
      <c r="E29" s="14">
        <v>2.8</v>
      </c>
      <c r="F29" s="14">
        <f>11-E29</f>
        <v>8.2</v>
      </c>
    </row>
    <row r="30" spans="1:2" ht="12.75">
      <c r="A30" s="9"/>
      <c r="B30" s="7"/>
    </row>
    <row r="31" spans="1:2" ht="12.75">
      <c r="A31" s="9"/>
      <c r="B31" s="7"/>
    </row>
    <row r="32" spans="1:6" ht="12.75">
      <c r="A32" s="9"/>
      <c r="B32" s="7"/>
      <c r="D32" s="13" t="s">
        <v>30</v>
      </c>
      <c r="E32" s="14" t="s">
        <v>1</v>
      </c>
      <c r="F32" s="14" t="s">
        <v>10</v>
      </c>
    </row>
    <row r="33" spans="1:6" ht="12.75">
      <c r="A33" s="9"/>
      <c r="B33" s="7"/>
      <c r="D33" s="14" t="s">
        <v>0</v>
      </c>
      <c r="E33" s="14">
        <v>0.44</v>
      </c>
      <c r="F33" s="14">
        <f>1.33-E33</f>
        <v>0.8900000000000001</v>
      </c>
    </row>
    <row r="34" spans="1:6" ht="12.75">
      <c r="A34" s="9"/>
      <c r="B34" s="7"/>
      <c r="D34" s="14" t="s">
        <v>8</v>
      </c>
      <c r="E34" s="14">
        <v>0</v>
      </c>
      <c r="F34" s="14">
        <v>0.17</v>
      </c>
    </row>
    <row r="35" spans="1:2" ht="12.75">
      <c r="A35" s="9"/>
      <c r="B35" s="7"/>
    </row>
    <row r="36" spans="1:2" ht="12.75">
      <c r="A36" s="9"/>
      <c r="B36" s="7"/>
    </row>
    <row r="37" spans="1:2" ht="12.75">
      <c r="A37" s="9"/>
      <c r="B37" s="7"/>
    </row>
    <row r="38" spans="1:2" ht="12.75">
      <c r="A38" s="9"/>
      <c r="B38" s="7"/>
    </row>
    <row r="39" spans="1:2" ht="12.75">
      <c r="A39" s="9"/>
      <c r="B39" s="7"/>
    </row>
    <row r="40" spans="1:2" ht="12.75">
      <c r="A40" s="9"/>
      <c r="B40" s="7"/>
    </row>
    <row r="41" spans="1:2" ht="12.75">
      <c r="A41" s="9"/>
      <c r="B41" s="7"/>
    </row>
    <row r="42" spans="1:2" ht="12.75">
      <c r="A42" s="9"/>
      <c r="B42" s="7"/>
    </row>
    <row r="43" spans="1:2" ht="12.75" customHeight="1">
      <c r="A43" s="9" t="s">
        <v>156</v>
      </c>
      <c r="B43" s="9" t="s">
        <v>167</v>
      </c>
    </row>
    <row r="44" spans="1:2" ht="12.75">
      <c r="A44" s="9" t="s">
        <v>157</v>
      </c>
      <c r="B44" s="9" t="s">
        <v>168</v>
      </c>
    </row>
    <row r="45" spans="1:3" ht="12.75">
      <c r="A45" s="9" t="s">
        <v>158</v>
      </c>
      <c r="B45" s="9" t="s">
        <v>128</v>
      </c>
      <c r="C45" s="3"/>
    </row>
    <row r="46" spans="1:3" ht="12.75">
      <c r="A46" s="9"/>
      <c r="C46" s="3"/>
    </row>
    <row r="48" spans="4:6" ht="12.75">
      <c r="D48" s="13" t="s">
        <v>12</v>
      </c>
      <c r="E48" s="14" t="s">
        <v>1</v>
      </c>
      <c r="F48" s="14" t="s">
        <v>10</v>
      </c>
    </row>
    <row r="49" spans="4:6" ht="12.75">
      <c r="D49" s="14" t="s">
        <v>0</v>
      </c>
      <c r="E49" s="14">
        <v>15</v>
      </c>
      <c r="F49" s="14">
        <f>32.2-E49</f>
        <v>17.200000000000003</v>
      </c>
    </row>
    <row r="50" spans="4:6" ht="12.75">
      <c r="D50" s="14" t="s">
        <v>7</v>
      </c>
      <c r="E50" s="14">
        <v>4.8</v>
      </c>
      <c r="F50" s="14">
        <f>17.8-E50</f>
        <v>13</v>
      </c>
    </row>
    <row r="51" spans="4:6" ht="12.75">
      <c r="D51" s="14" t="s">
        <v>9</v>
      </c>
      <c r="E51" s="14">
        <v>4.7</v>
      </c>
      <c r="F51" s="14">
        <f>11.1-E51</f>
        <v>6.3999999999999995</v>
      </c>
    </row>
    <row r="53" spans="4:6" ht="12.75">
      <c r="D53" s="13" t="s">
        <v>33</v>
      </c>
      <c r="E53" s="14" t="s">
        <v>1</v>
      </c>
      <c r="F53" s="14" t="s">
        <v>10</v>
      </c>
    </row>
    <row r="54" spans="4:6" ht="12.75">
      <c r="D54" s="14" t="s">
        <v>0</v>
      </c>
      <c r="E54" s="14">
        <v>11.2</v>
      </c>
      <c r="F54" s="14">
        <f>21-E54</f>
        <v>9.8</v>
      </c>
    </row>
    <row r="55" spans="4:6" ht="12.75">
      <c r="D55" s="14" t="s">
        <v>7</v>
      </c>
      <c r="E55" s="14">
        <v>3.7</v>
      </c>
      <c r="F55" s="14">
        <f>12.6-E55</f>
        <v>8.899999999999999</v>
      </c>
    </row>
    <row r="56" spans="4:6" ht="12.75">
      <c r="D56" s="14" t="s">
        <v>9</v>
      </c>
      <c r="E56" s="14">
        <v>4.7</v>
      </c>
      <c r="F56" s="14">
        <f>11.1-E56</f>
        <v>6.3999999999999995</v>
      </c>
    </row>
    <row r="67" spans="1:2" ht="12.75">
      <c r="A67" s="12" t="s">
        <v>13</v>
      </c>
      <c r="B67" s="12" t="s">
        <v>34</v>
      </c>
    </row>
    <row r="68" spans="1:2" ht="12.75">
      <c r="A68" s="12" t="s">
        <v>14</v>
      </c>
      <c r="B68" s="12" t="s">
        <v>35</v>
      </c>
    </row>
  </sheetData>
  <printOptions horizontalCentered="1"/>
  <pageMargins left="0.15748031496062992" right="0.15748031496062992" top="0.25" bottom="0.2" header="0.5118110236220472" footer="0.2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dballanti</dc:creator>
  <cp:keywords/>
  <dc:description/>
  <cp:lastModifiedBy>BOREMA00</cp:lastModifiedBy>
  <cp:lastPrinted>2007-06-15T14:51:11Z</cp:lastPrinted>
  <dcterms:created xsi:type="dcterms:W3CDTF">2007-06-09T07:46:12Z</dcterms:created>
  <dcterms:modified xsi:type="dcterms:W3CDTF">2007-06-19T15:57:14Z</dcterms:modified>
  <cp:category/>
  <cp:version/>
  <cp:contentType/>
  <cp:contentStatus/>
</cp:coreProperties>
</file>