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<sst xmlns="http://schemas.openxmlformats.org/spreadsheetml/2006/main" count="140" uniqueCount="102">
  <si>
    <t>Dati in euro</t>
  </si>
  <si>
    <t>Nota importante:La simulazione è condotta nell'ipotesi che i tassi proposti dalle banche e quelli di mercato restino invariati per i prossimi 12 mesi</t>
  </si>
  <si>
    <t>Fonte: Elaborazione Il Sole 24 Ore</t>
  </si>
  <si>
    <t>Banca</t>
  </si>
  <si>
    <t>Strumento</t>
  </si>
  <si>
    <t>Internet</t>
  </si>
  <si>
    <t>Tasso lordo</t>
  </si>
  <si>
    <t>Aliquota</t>
  </si>
  <si>
    <t>Tasso netto</t>
  </si>
  <si>
    <t>Caratteristiche</t>
  </si>
  <si>
    <t>Rendimento netto a un anno per capitale investito (in euro)</t>
  </si>
  <si>
    <t>Ministero del Tesoro</t>
  </si>
  <si>
    <t>BoT annuale</t>
  </si>
  <si>
    <t>Commissioni acquisto 0,3%, bolli 0,09 euro ogni 1000 euro</t>
  </si>
  <si>
    <t>Conti deposito o bancari senza promozione (vecchi clienti)</t>
  </si>
  <si>
    <t>Webank</t>
  </si>
  <si>
    <t>Conto@me</t>
  </si>
  <si>
    <t>www.webank.it</t>
  </si>
  <si>
    <t>Tasso lordo 4,15%. Sale al 4,5% con almento 18 eseguiti di Borsa al trimestre. Per giacenze oltre 50mila euro tasso lordo 1,25%.</t>
  </si>
  <si>
    <t>Iw Bank</t>
  </si>
  <si>
    <t>Iw Power deposito</t>
  </si>
  <si>
    <t>www.iwbank.it</t>
  </si>
  <si>
    <t>Tasso lordo 4,25% (Bce)</t>
  </si>
  <si>
    <t>Ing Direct</t>
  </si>
  <si>
    <t>Conto Arancio</t>
  </si>
  <si>
    <t>www.ingdirect.it</t>
  </si>
  <si>
    <t>Tasso lordo 3%</t>
  </si>
  <si>
    <t>Fineco</t>
  </si>
  <si>
    <t>Conto Fineco</t>
  </si>
  <si>
    <t>www.fineco.it</t>
  </si>
  <si>
    <t xml:space="preserve">Tasso allineato alla Bce -0,25% (4% lordo attualmente) sopra i 2mila euro. Fino a 2mila 0,25% lordo. </t>
  </si>
  <si>
    <t>Banca Sella</t>
  </si>
  <si>
    <t>Websella.it</t>
  </si>
  <si>
    <t>www.websella.it</t>
  </si>
  <si>
    <t>Tasso lordo 4%</t>
  </si>
  <si>
    <t>Santander Consumer Bank</t>
  </si>
  <si>
    <t>Conto Santander</t>
  </si>
  <si>
    <t>www.bancasantander.it</t>
  </si>
  <si>
    <t>Tasso lordo 3,75% (4% dal 1 ottobre)</t>
  </si>
  <si>
    <t>CheBanca!</t>
  </si>
  <si>
    <t>Conto deposito            Che Interessi!Base</t>
  </si>
  <si>
    <t>www.chebanca.it</t>
  </si>
  <si>
    <t>Sparkasse</t>
  </si>
  <si>
    <t>Conto Extra</t>
  </si>
  <si>
    <t>www.sparkasseitalia.it</t>
  </si>
  <si>
    <t>Tasso lordo 3,5%</t>
  </si>
  <si>
    <t>Banca Ifis</t>
  </si>
  <si>
    <t>Rendimax</t>
  </si>
  <si>
    <t>www.rendimax.it</t>
  </si>
  <si>
    <t>Tasso lordo 4,75%</t>
  </si>
  <si>
    <t>Media</t>
  </si>
  <si>
    <t>Conti bancari con promozione (nuovi clienti)</t>
  </si>
  <si>
    <t>Tasso lordo 5,5% fino al 31/12/2008 per giacenze fino a 30mila euro, 3,9% da 30.001 a 50mila euro, 1,25% oltre.</t>
  </si>
  <si>
    <t>Tasso lordo 5% fino al 31/12/2008 fino a 50mila euro, oltre 4%. Tasso comunque del 4% nei mesi in cui si effettuano prelievi.</t>
  </si>
  <si>
    <t>Tasso lordo 4,75% per i primi 12 mesi</t>
  </si>
  <si>
    <t>Tasso lordo 4,875% per i primi 6 mesi e fino a 100mila di giacenza</t>
  </si>
  <si>
    <t>Tasso lordo 6% per 6 mesi fino sui primi 30mila euro, oltre 4% lordo. Dopo tasso lordo 4%.</t>
  </si>
  <si>
    <t>Barclays</t>
  </si>
  <si>
    <t>Conto 5%</t>
  </si>
  <si>
    <t>www.barclays.it</t>
  </si>
  <si>
    <t>Tasso lordo 5% fino al 31/12/2008 fino a 50mila euro, oltre Euribor 1 mese-2% (attualmente 2,51%). Oltre Euribor 1 mese - 2%.</t>
  </si>
  <si>
    <t>Conti bancari con impiego vincolato del capitale</t>
  </si>
  <si>
    <t>Iw Power 180</t>
  </si>
  <si>
    <t>Tasso netto 3,25%. Investimento in titoli di Stato per circa 6 mesi (x 2). Tasso 3,15% a 30 giorni e 3,20% a 90 giorni</t>
  </si>
  <si>
    <t>Iw Power Turbo 180</t>
  </si>
  <si>
    <t>Tasso netto 4,25%. Investimento in titoli di Stato per circa 6 mesi (x 2). Tasso 3,30% a 30 giorni e 3,70% a 90 giorni</t>
  </si>
  <si>
    <t>Arancio+</t>
  </si>
  <si>
    <t>Tasso lordo 4,4% da 10mila fino a 49.999 euro, 4,7% da 50mila a 99.999 euro, 5% oltre 100mila euro per 12 mesi (4,2%, 4,4% e 4,7% 6 mesi). 3% sotto 10mila</t>
  </si>
  <si>
    <t>Santander Time Deposit</t>
  </si>
  <si>
    <t>Vincolato per 12 mesi, tasso 4,5% lordo (4,25% 6 mesi)</t>
  </si>
  <si>
    <t>Conto deposito            Che Interessi!Subito!</t>
  </si>
  <si>
    <t>Tasso lordo anticipato 4,7% per 12 mesi (4,5% a 6 mesi e 4,3% a 3 mesi)</t>
  </si>
  <si>
    <t>Pronti contro termine</t>
  </si>
  <si>
    <t>UniCredit</t>
  </si>
  <si>
    <t>MoneyBox</t>
  </si>
  <si>
    <t>Tasso netto 3,5% a partire da 5mila euro, 3,8% da 100mila, 4% da 150mila. Bolli 0,09 euro per mille euro</t>
  </si>
  <si>
    <t>n.d</t>
  </si>
  <si>
    <t>Myprofit</t>
  </si>
  <si>
    <t>Tasso netto 3,5% a 6 mesi (x2). Tasso 3,3% a un mese e 3,4% a 3 mesi</t>
  </si>
  <si>
    <t xml:space="preserve">Fineco </t>
  </si>
  <si>
    <t>Fineco Supersave</t>
  </si>
  <si>
    <t xml:space="preserve">Tasso lordo 4,1% fino a 150mila euro, 4,4% oltre. Per 1,3 o 6 mesi. </t>
  </si>
  <si>
    <t>5% Netto</t>
  </si>
  <si>
    <t>5% Netto per 6 mesi per depositi minimi di 50mila euro (4,5% da 10mila a 49.999 euro). Rinnovabili trimestralmente fino a 12 mesi attivando uno dei prodotti o servizi indicati da Barclays (domiciliazione utenze, accerdeito stipendio, mutuo, carta di credito, etc.)</t>
  </si>
  <si>
    <t>Altri Strumenti</t>
  </si>
  <si>
    <t>IwBank</t>
  </si>
  <si>
    <t>Iw Rendita</t>
  </si>
  <si>
    <t>Obbligazione con cedola lorda indicizzata al tasso Bce (attualmente 4,25%). Accredito interessi mensile, garanzia del capitale a scadenza.</t>
  </si>
  <si>
    <t>Lyxor</t>
  </si>
  <si>
    <t>Etf liquidità</t>
  </si>
  <si>
    <t>Etf legato all'andamento dell'indice EuroMts Eonia. Commissioni pari allo 0,15%.</t>
  </si>
  <si>
    <t>Db x-trackers</t>
  </si>
  <si>
    <t>Abn Amro</t>
  </si>
  <si>
    <t>Certificato Valuta Plus Euro</t>
  </si>
  <si>
    <t>www.abnamromarkets.it</t>
  </si>
  <si>
    <t>Certificato legato all'andamento dell'indice EuroMts Eonia. Spread pari allo 0,15%</t>
  </si>
  <si>
    <t>Certificato Valuta Plus Euribor</t>
  </si>
  <si>
    <t>Certificato legato all'andamento del tasso Euribor 3 mesi.</t>
  </si>
  <si>
    <t>Quanto rendono gli investimenti in liquidità</t>
  </si>
  <si>
    <t>www.lyxoretf.it</t>
  </si>
  <si>
    <t>www.dbxtrackers.it</t>
  </si>
  <si>
    <t>www.unicreditbanca.it/it/privati/investimenti/liquidita/moneybox/?idc=4780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</si>
</sst>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1" fontId="0" fillId="0" borderId="0" xfId="18" applyAlignment="1">
      <alignment vertical="center"/>
    </xf>
    <xf numFmtId="0" fontId="0" fillId="2" borderId="0" xfId="0" applyFont="1" applyFill="1" applyAlignment="1">
      <alignment horizontal="left" vertical="center" wrapText="1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15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1" fontId="0" fillId="0" borderId="0" xfId="18" applyFill="1" applyAlignment="1">
      <alignment vertical="center"/>
    </xf>
    <xf numFmtId="0" fontId="2" fillId="0" borderId="0" xfId="15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15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41" fontId="0" fillId="0" borderId="0" xfId="18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1" fontId="0" fillId="0" borderId="0" xfId="18" applyAlignment="1">
      <alignment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15" applyFont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1" fontId="0" fillId="0" borderId="0" xfId="18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15" applyFont="1" applyFill="1" applyAlignment="1">
      <alignment horizontal="center" vertical="center" wrapText="1"/>
    </xf>
    <xf numFmtId="0" fontId="3" fillId="0" borderId="0" xfId="15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o@me" TargetMode="External" /><Relationship Id="rId2" Type="http://schemas.openxmlformats.org/officeDocument/2006/relationships/hyperlink" Target="mailto:Conto@me" TargetMode="External" /><Relationship Id="rId3" Type="http://schemas.openxmlformats.org/officeDocument/2006/relationships/hyperlink" Target="http://www.webank.it/" TargetMode="External" /><Relationship Id="rId4" Type="http://schemas.openxmlformats.org/officeDocument/2006/relationships/hyperlink" Target="http://www.webank.it/" TargetMode="External" /><Relationship Id="rId5" Type="http://schemas.openxmlformats.org/officeDocument/2006/relationships/hyperlink" Target="http://www.bancasantander.it/" TargetMode="External" /><Relationship Id="rId6" Type="http://schemas.openxmlformats.org/officeDocument/2006/relationships/hyperlink" Target="http://www.bancasantander.it/" TargetMode="External" /><Relationship Id="rId7" Type="http://schemas.openxmlformats.org/officeDocument/2006/relationships/hyperlink" Target="http://www.bancasantander.it/" TargetMode="External" /><Relationship Id="rId8" Type="http://schemas.openxmlformats.org/officeDocument/2006/relationships/hyperlink" Target="http://www.abnamromarkets.it/" TargetMode="External" /><Relationship Id="rId9" Type="http://schemas.openxmlformats.org/officeDocument/2006/relationships/hyperlink" Target="http://www.iwbank.it/" TargetMode="External" /><Relationship Id="rId10" Type="http://schemas.openxmlformats.org/officeDocument/2006/relationships/hyperlink" Target="http://www.iwbank.it/" TargetMode="External" /><Relationship Id="rId11" Type="http://schemas.openxmlformats.org/officeDocument/2006/relationships/hyperlink" Target="http://www.iwbank.it/" TargetMode="External" /><Relationship Id="rId12" Type="http://schemas.openxmlformats.org/officeDocument/2006/relationships/hyperlink" Target="http://www.ingdirect.it/" TargetMode="External" /><Relationship Id="rId13" Type="http://schemas.openxmlformats.org/officeDocument/2006/relationships/hyperlink" Target="http://www.ingdirect.it/" TargetMode="External" /><Relationship Id="rId14" Type="http://schemas.openxmlformats.org/officeDocument/2006/relationships/hyperlink" Target="http://www.ingdirect.it/" TargetMode="External" /><Relationship Id="rId15" Type="http://schemas.openxmlformats.org/officeDocument/2006/relationships/hyperlink" Target="http://www.chebanca.it/" TargetMode="External" /><Relationship Id="rId16" Type="http://schemas.openxmlformats.org/officeDocument/2006/relationships/hyperlink" Target="http://www.barclays.it/" TargetMode="External" /><Relationship Id="rId17" Type="http://schemas.openxmlformats.org/officeDocument/2006/relationships/hyperlink" Target="http://www.barclays.it/" TargetMode="External" /><Relationship Id="rId18" Type="http://schemas.openxmlformats.org/officeDocument/2006/relationships/hyperlink" Target="http://www.websella.it/" TargetMode="External" /><Relationship Id="rId19" Type="http://schemas.openxmlformats.org/officeDocument/2006/relationships/hyperlink" Target="http://www.websella.it/" TargetMode="External" /><Relationship Id="rId20" Type="http://schemas.openxmlformats.org/officeDocument/2006/relationships/hyperlink" Target="http://www.fineco.it/" TargetMode="External" /><Relationship Id="rId21" Type="http://schemas.openxmlformats.org/officeDocument/2006/relationships/hyperlink" Target="http://www.fineco.it/" TargetMode="External" /><Relationship Id="rId22" Type="http://schemas.openxmlformats.org/officeDocument/2006/relationships/hyperlink" Target="http://www.webank.it/" TargetMode="External" /><Relationship Id="rId23" Type="http://schemas.openxmlformats.org/officeDocument/2006/relationships/hyperlink" Target="http://www.sparkasseitalia.it/" TargetMode="External" /><Relationship Id="rId24" Type="http://schemas.openxmlformats.org/officeDocument/2006/relationships/hyperlink" Target="http://www.chebanca.it/" TargetMode="External" /><Relationship Id="rId25" Type="http://schemas.openxmlformats.org/officeDocument/2006/relationships/hyperlink" Target="http://www.sparkasseitalia.it/" TargetMode="External" /><Relationship Id="rId26" Type="http://schemas.openxmlformats.org/officeDocument/2006/relationships/hyperlink" Target="http://www.rendimax.it/" TargetMode="External" /><Relationship Id="rId27" Type="http://schemas.openxmlformats.org/officeDocument/2006/relationships/hyperlink" Target="http://www.lyxoretf.it/" TargetMode="External" /><Relationship Id="rId28" Type="http://schemas.openxmlformats.org/officeDocument/2006/relationships/hyperlink" Target="http://www.unicreditbanca.it/it/privati/investimenti/liquidita/moneybox/?idc=4780" TargetMode="External" /><Relationship Id="rId29" Type="http://schemas.openxmlformats.org/officeDocument/2006/relationships/hyperlink" Target="http://www.dt.tesoro.it/Aree-Docum/Debito-Pub/Emissioni-/index.ht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C9" sqref="C9"/>
    </sheetView>
  </sheetViews>
  <sheetFormatPr defaultColWidth="9.140625" defaultRowHeight="12.75"/>
  <cols>
    <col min="1" max="1" width="12.421875" style="0" customWidth="1"/>
    <col min="2" max="2" width="17.57421875" style="0" customWidth="1"/>
    <col min="3" max="3" width="20.57421875" style="1" customWidth="1"/>
    <col min="4" max="4" width="10.140625" style="2" customWidth="1"/>
    <col min="5" max="5" width="9.00390625" style="2" customWidth="1"/>
    <col min="6" max="6" width="10.140625" style="2" customWidth="1"/>
    <col min="7" max="7" width="31.8515625" style="3" customWidth="1"/>
    <col min="8" max="8" width="8.7109375" style="4" customWidth="1"/>
    <col min="9" max="11" width="8.00390625" style="4" customWidth="1"/>
    <col min="12" max="14" width="7.421875" style="4" customWidth="1"/>
    <col min="15" max="15" width="10.140625" style="0" bestFit="1" customWidth="1"/>
  </cols>
  <sheetData>
    <row r="1" ht="12.75">
      <c r="A1" s="33" t="s">
        <v>98</v>
      </c>
    </row>
    <row r="2" ht="12.75">
      <c r="A2" s="38" t="s">
        <v>0</v>
      </c>
    </row>
    <row r="3" spans="1:14" s="33" customFormat="1" ht="12.75">
      <c r="A3" s="33" t="s">
        <v>1</v>
      </c>
      <c r="C3" s="34"/>
      <c r="D3" s="35"/>
      <c r="E3" s="35"/>
      <c r="F3" s="35"/>
      <c r="G3" s="36"/>
      <c r="H3" s="37"/>
      <c r="I3" s="37"/>
      <c r="J3" s="37"/>
      <c r="K3" s="37"/>
      <c r="L3" s="37"/>
      <c r="M3" s="37"/>
      <c r="N3" s="37"/>
    </row>
    <row r="4" ht="12.75">
      <c r="A4" s="38" t="s">
        <v>2</v>
      </c>
    </row>
    <row r="6" spans="1:14" ht="12.75">
      <c r="A6" t="s">
        <v>3</v>
      </c>
      <c r="B6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3" t="s">
        <v>9</v>
      </c>
      <c r="H6" s="39" t="s">
        <v>10</v>
      </c>
      <c r="I6" s="39"/>
      <c r="J6" s="39"/>
      <c r="K6" s="39"/>
      <c r="L6" s="39"/>
      <c r="M6" s="39"/>
      <c r="N6" s="39"/>
    </row>
    <row r="7" spans="8:14" ht="12.75">
      <c r="H7" s="5">
        <v>100000</v>
      </c>
      <c r="I7" s="5">
        <v>50000</v>
      </c>
      <c r="J7" s="5">
        <v>20000</v>
      </c>
      <c r="K7" s="5">
        <v>10000</v>
      </c>
      <c r="L7" s="5">
        <v>5000</v>
      </c>
      <c r="M7" s="5">
        <v>2000</v>
      </c>
      <c r="N7" s="5">
        <v>1000</v>
      </c>
    </row>
    <row r="8" spans="8:14" ht="8.25" customHeight="1">
      <c r="H8" s="5"/>
      <c r="I8" s="5"/>
      <c r="J8" s="5"/>
      <c r="K8" s="5"/>
      <c r="L8" s="5"/>
      <c r="M8" s="5"/>
      <c r="N8" s="5"/>
    </row>
    <row r="9" spans="1:14" ht="31.5" customHeight="1">
      <c r="A9" s="6" t="s">
        <v>11</v>
      </c>
      <c r="B9" s="4" t="s">
        <v>12</v>
      </c>
      <c r="C9" s="51" t="s">
        <v>11</v>
      </c>
      <c r="D9" s="7">
        <v>0.04306</v>
      </c>
      <c r="E9" s="8">
        <v>0.125</v>
      </c>
      <c r="F9" s="9">
        <v>0.0375</v>
      </c>
      <c r="G9" s="6" t="s">
        <v>13</v>
      </c>
      <c r="H9" s="5">
        <f aca="true" t="shared" si="0" ref="H9:N9">H7*$F$9-0.00009*H7</f>
        <v>3741</v>
      </c>
      <c r="I9" s="5">
        <f t="shared" si="0"/>
        <v>1870.5</v>
      </c>
      <c r="J9" s="5">
        <f t="shared" si="0"/>
        <v>748.2</v>
      </c>
      <c r="K9" s="5">
        <f t="shared" si="0"/>
        <v>374.1</v>
      </c>
      <c r="L9" s="5">
        <f t="shared" si="0"/>
        <v>187.05</v>
      </c>
      <c r="M9" s="5">
        <f t="shared" si="0"/>
        <v>74.82</v>
      </c>
      <c r="N9" s="5">
        <f t="shared" si="0"/>
        <v>37.41</v>
      </c>
    </row>
    <row r="10" spans="6:14" ht="12.75">
      <c r="F10" s="10"/>
      <c r="H10" s="5"/>
      <c r="I10" s="5"/>
      <c r="J10" s="5"/>
      <c r="K10" s="5"/>
      <c r="L10" s="5"/>
      <c r="M10" s="5"/>
      <c r="N10" s="5"/>
    </row>
    <row r="11" spans="1:14" ht="12.75">
      <c r="A11" s="40" t="s">
        <v>14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42.75" customHeight="1">
      <c r="A12" s="41" t="s">
        <v>15</v>
      </c>
      <c r="B12" s="41" t="s">
        <v>16</v>
      </c>
      <c r="C12" s="42" t="s">
        <v>17</v>
      </c>
      <c r="D12" s="9">
        <v>0.0415</v>
      </c>
      <c r="E12" s="13">
        <v>0.27</v>
      </c>
      <c r="F12" s="9">
        <f aca="true" t="shared" si="1" ref="F12:F21">D12*0.73</f>
        <v>0.030295000000000002</v>
      </c>
      <c r="G12" s="43" t="s">
        <v>18</v>
      </c>
      <c r="H12" s="14">
        <f>(50000*D12+50000*1.25%)*0.73</f>
        <v>1971</v>
      </c>
      <c r="I12" s="5">
        <f aca="true" t="shared" si="2" ref="I12:N12">(I7*$D$12)*0.73</f>
        <v>1514.75</v>
      </c>
      <c r="J12" s="5">
        <f t="shared" si="2"/>
        <v>605.9</v>
      </c>
      <c r="K12" s="5">
        <f t="shared" si="2"/>
        <v>302.95</v>
      </c>
      <c r="L12" s="5">
        <f t="shared" si="2"/>
        <v>151.475</v>
      </c>
      <c r="M12" s="5">
        <f t="shared" si="2"/>
        <v>60.589999999999996</v>
      </c>
      <c r="N12" s="5">
        <f t="shared" si="2"/>
        <v>30.294999999999998</v>
      </c>
    </row>
    <row r="13" spans="1:14" ht="12.75">
      <c r="A13" s="41"/>
      <c r="B13" s="41"/>
      <c r="C13" s="42"/>
      <c r="D13" s="9">
        <v>0.045</v>
      </c>
      <c r="E13" s="13">
        <v>0.27</v>
      </c>
      <c r="F13" s="9">
        <f t="shared" si="1"/>
        <v>0.03285</v>
      </c>
      <c r="G13" s="43"/>
      <c r="H13" s="14">
        <f>(50000*D13+50000*1.25%)*0.73</f>
        <v>2098.75</v>
      </c>
      <c r="I13" s="5">
        <f aca="true" t="shared" si="3" ref="I13:N13">(I7*$D$13)*0.73</f>
        <v>1642.5</v>
      </c>
      <c r="J13" s="5">
        <f t="shared" si="3"/>
        <v>657</v>
      </c>
      <c r="K13" s="5">
        <f t="shared" si="3"/>
        <v>328.5</v>
      </c>
      <c r="L13" s="5">
        <f t="shared" si="3"/>
        <v>164.25</v>
      </c>
      <c r="M13" s="5">
        <f t="shared" si="3"/>
        <v>65.7</v>
      </c>
      <c r="N13" s="5">
        <f t="shared" si="3"/>
        <v>32.85</v>
      </c>
    </row>
    <row r="14" spans="1:14" ht="12.75">
      <c r="A14" s="4" t="s">
        <v>19</v>
      </c>
      <c r="B14" s="4" t="s">
        <v>20</v>
      </c>
      <c r="C14" s="12" t="s">
        <v>21</v>
      </c>
      <c r="D14" s="9">
        <v>0.0425</v>
      </c>
      <c r="E14" s="13">
        <v>0.27</v>
      </c>
      <c r="F14" s="9">
        <f t="shared" si="1"/>
        <v>0.031025</v>
      </c>
      <c r="G14" s="11" t="s">
        <v>22</v>
      </c>
      <c r="H14" s="14">
        <f aca="true" t="shared" si="4" ref="H14:N14">H7*$F$14</f>
        <v>3102.5</v>
      </c>
      <c r="I14" s="5">
        <f t="shared" si="4"/>
        <v>1551.25</v>
      </c>
      <c r="J14" s="5">
        <f t="shared" si="4"/>
        <v>620.5</v>
      </c>
      <c r="K14" s="5">
        <f t="shared" si="4"/>
        <v>310.25</v>
      </c>
      <c r="L14" s="5">
        <f t="shared" si="4"/>
        <v>155.125</v>
      </c>
      <c r="M14" s="5">
        <f t="shared" si="4"/>
        <v>62.050000000000004</v>
      </c>
      <c r="N14" s="5">
        <f t="shared" si="4"/>
        <v>31.025000000000002</v>
      </c>
    </row>
    <row r="15" spans="1:14" ht="12.75">
      <c r="A15" s="4" t="s">
        <v>23</v>
      </c>
      <c r="B15" s="4" t="s">
        <v>24</v>
      </c>
      <c r="C15" s="12" t="s">
        <v>25</v>
      </c>
      <c r="D15" s="13">
        <v>0.03</v>
      </c>
      <c r="E15" s="13">
        <v>0.27</v>
      </c>
      <c r="F15" s="9">
        <f t="shared" si="1"/>
        <v>0.0219</v>
      </c>
      <c r="G15" s="11" t="s">
        <v>26</v>
      </c>
      <c r="H15" s="14">
        <f aca="true" t="shared" si="5" ref="H15:N15">$F$15*H7</f>
        <v>2190</v>
      </c>
      <c r="I15" s="5">
        <f t="shared" si="5"/>
        <v>1095</v>
      </c>
      <c r="J15" s="5">
        <f t="shared" si="5"/>
        <v>438</v>
      </c>
      <c r="K15" s="5">
        <f t="shared" si="5"/>
        <v>219</v>
      </c>
      <c r="L15" s="5">
        <f t="shared" si="5"/>
        <v>109.5</v>
      </c>
      <c r="M15" s="5">
        <f t="shared" si="5"/>
        <v>43.8</v>
      </c>
      <c r="N15" s="5">
        <f t="shared" si="5"/>
        <v>21.9</v>
      </c>
    </row>
    <row r="16" spans="1:14" ht="38.25">
      <c r="A16" s="4" t="s">
        <v>27</v>
      </c>
      <c r="B16" s="4" t="s">
        <v>28</v>
      </c>
      <c r="C16" s="12" t="s">
        <v>29</v>
      </c>
      <c r="D16" s="13">
        <v>0.04</v>
      </c>
      <c r="E16" s="13">
        <v>0.27</v>
      </c>
      <c r="F16" s="9">
        <f t="shared" si="1"/>
        <v>0.0292</v>
      </c>
      <c r="G16" s="6" t="s">
        <v>30</v>
      </c>
      <c r="H16" s="14">
        <f>(2000*0.25%+98000*4%)*0.73</f>
        <v>2865.25</v>
      </c>
      <c r="I16" s="5">
        <f>(2000*0.25%+(I7-2000)*4%)*0.73</f>
        <v>1405.25</v>
      </c>
      <c r="J16" s="5">
        <f>(2000*0.25%+(J7-2000)*4%)*0.73</f>
        <v>529.25</v>
      </c>
      <c r="K16" s="5">
        <f>(2000*0.25%+(K7-2000)*4%)*0.73</f>
        <v>237.25</v>
      </c>
      <c r="L16" s="5">
        <f>(2000*0.25%+(L7-2000)*4%)*0.73</f>
        <v>91.25</v>
      </c>
      <c r="M16" s="5">
        <f>(2000*0.25%)*0.73</f>
        <v>3.65</v>
      </c>
      <c r="N16" s="5">
        <f>(1000*0.25%)*0.73</f>
        <v>1.825</v>
      </c>
    </row>
    <row r="17" spans="1:14" ht="12.75">
      <c r="A17" s="4" t="s">
        <v>31</v>
      </c>
      <c r="B17" s="4" t="s">
        <v>32</v>
      </c>
      <c r="C17" s="15" t="s">
        <v>33</v>
      </c>
      <c r="D17" s="13">
        <v>0.04</v>
      </c>
      <c r="E17" s="13">
        <v>0.27</v>
      </c>
      <c r="F17" s="9">
        <f t="shared" si="1"/>
        <v>0.0292</v>
      </c>
      <c r="G17" s="11" t="s">
        <v>34</v>
      </c>
      <c r="H17" s="5">
        <f aca="true" t="shared" si="6" ref="H17:N17">$F$17*H7</f>
        <v>2920</v>
      </c>
      <c r="I17" s="5">
        <f t="shared" si="6"/>
        <v>1460</v>
      </c>
      <c r="J17" s="5">
        <f t="shared" si="6"/>
        <v>584</v>
      </c>
      <c r="K17" s="5">
        <f t="shared" si="6"/>
        <v>292</v>
      </c>
      <c r="L17" s="5">
        <f t="shared" si="6"/>
        <v>146</v>
      </c>
      <c r="M17" s="5">
        <f t="shared" si="6"/>
        <v>58.4</v>
      </c>
      <c r="N17" s="5">
        <f t="shared" si="6"/>
        <v>29.2</v>
      </c>
    </row>
    <row r="18" spans="1:14" ht="39" customHeight="1">
      <c r="A18" s="6" t="s">
        <v>35</v>
      </c>
      <c r="B18" s="16" t="s">
        <v>36</v>
      </c>
      <c r="C18" s="15" t="s">
        <v>37</v>
      </c>
      <c r="D18" s="9">
        <v>0.0375</v>
      </c>
      <c r="E18" s="13">
        <v>0.27</v>
      </c>
      <c r="F18" s="9">
        <f t="shared" si="1"/>
        <v>0.027375</v>
      </c>
      <c r="G18" s="4" t="s">
        <v>38</v>
      </c>
      <c r="H18" s="5">
        <f aca="true" t="shared" si="7" ref="H18:N18">$F$18*H7*1/24+$F$17*H7*23/24</f>
        <v>2912.3958333333335</v>
      </c>
      <c r="I18" s="5">
        <f t="shared" si="7"/>
        <v>1456.1979166666667</v>
      </c>
      <c r="J18" s="5">
        <f t="shared" si="7"/>
        <v>582.4791666666666</v>
      </c>
      <c r="K18" s="5">
        <f t="shared" si="7"/>
        <v>291.2395833333333</v>
      </c>
      <c r="L18" s="5">
        <f t="shared" si="7"/>
        <v>145.61979166666666</v>
      </c>
      <c r="M18" s="5">
        <f t="shared" si="7"/>
        <v>58.24791666666667</v>
      </c>
      <c r="N18" s="5">
        <f t="shared" si="7"/>
        <v>29.123958333333334</v>
      </c>
    </row>
    <row r="19" spans="1:14" ht="27" customHeight="1">
      <c r="A19" s="4" t="s">
        <v>39</v>
      </c>
      <c r="B19" s="6" t="s">
        <v>40</v>
      </c>
      <c r="C19" s="17" t="s">
        <v>41</v>
      </c>
      <c r="D19" s="13">
        <v>0.04</v>
      </c>
      <c r="E19" s="13">
        <v>0.27</v>
      </c>
      <c r="F19" s="9">
        <f t="shared" si="1"/>
        <v>0.0292</v>
      </c>
      <c r="G19" s="4" t="s">
        <v>34</v>
      </c>
      <c r="H19" s="5">
        <f aca="true" t="shared" si="8" ref="H19:N19">$F$17*H$7</f>
        <v>2920</v>
      </c>
      <c r="I19" s="5">
        <f t="shared" si="8"/>
        <v>1460</v>
      </c>
      <c r="J19" s="5">
        <f t="shared" si="8"/>
        <v>584</v>
      </c>
      <c r="K19" s="5">
        <f t="shared" si="8"/>
        <v>292</v>
      </c>
      <c r="L19" s="5">
        <f t="shared" si="8"/>
        <v>146</v>
      </c>
      <c r="M19" s="5">
        <f t="shared" si="8"/>
        <v>58.4</v>
      </c>
      <c r="N19" s="5">
        <f t="shared" si="8"/>
        <v>29.2</v>
      </c>
    </row>
    <row r="20" spans="1:14" ht="12.75">
      <c r="A20" s="4" t="s">
        <v>42</v>
      </c>
      <c r="B20" s="4" t="s">
        <v>43</v>
      </c>
      <c r="C20" s="12" t="s">
        <v>44</v>
      </c>
      <c r="D20" s="13">
        <v>0.035</v>
      </c>
      <c r="E20" s="13">
        <v>0.27</v>
      </c>
      <c r="F20" s="9">
        <f t="shared" si="1"/>
        <v>0.025550000000000003</v>
      </c>
      <c r="G20" s="11" t="s">
        <v>45</v>
      </c>
      <c r="H20" s="5">
        <f aca="true" t="shared" si="9" ref="H20:N20">$F$20*H$7</f>
        <v>2555.0000000000005</v>
      </c>
      <c r="I20" s="5">
        <f t="shared" si="9"/>
        <v>1277.5000000000002</v>
      </c>
      <c r="J20" s="5">
        <f t="shared" si="9"/>
        <v>511.00000000000006</v>
      </c>
      <c r="K20" s="5">
        <f t="shared" si="9"/>
        <v>255.50000000000003</v>
      </c>
      <c r="L20" s="5">
        <f t="shared" si="9"/>
        <v>127.75000000000001</v>
      </c>
      <c r="M20" s="5">
        <f t="shared" si="9"/>
        <v>51.10000000000001</v>
      </c>
      <c r="N20" s="5">
        <f t="shared" si="9"/>
        <v>25.550000000000004</v>
      </c>
    </row>
    <row r="21" spans="1:14" ht="12.75">
      <c r="A21" s="4" t="s">
        <v>46</v>
      </c>
      <c r="B21" s="4" t="s">
        <v>47</v>
      </c>
      <c r="C21" s="12" t="s">
        <v>48</v>
      </c>
      <c r="D21" s="9">
        <v>0.0475</v>
      </c>
      <c r="E21" s="13">
        <v>0.27</v>
      </c>
      <c r="F21" s="9">
        <f t="shared" si="1"/>
        <v>0.034675</v>
      </c>
      <c r="G21" s="11" t="s">
        <v>49</v>
      </c>
      <c r="H21" s="5">
        <f aca="true" t="shared" si="10" ref="H21:N21">$F$21*H$7</f>
        <v>3467.4999999999995</v>
      </c>
      <c r="I21" s="5">
        <f t="shared" si="10"/>
        <v>1733.7499999999998</v>
      </c>
      <c r="J21" s="5">
        <f t="shared" si="10"/>
        <v>693.5</v>
      </c>
      <c r="K21" s="5">
        <f t="shared" si="10"/>
        <v>346.75</v>
      </c>
      <c r="L21" s="5">
        <f t="shared" si="10"/>
        <v>173.375</v>
      </c>
      <c r="M21" s="5">
        <f t="shared" si="10"/>
        <v>69.35</v>
      </c>
      <c r="N21" s="5">
        <f t="shared" si="10"/>
        <v>34.675</v>
      </c>
    </row>
    <row r="22" spans="1:14" ht="12.75">
      <c r="A22" s="44" t="s">
        <v>50</v>
      </c>
      <c r="B22" s="44"/>
      <c r="C22" s="44"/>
      <c r="D22" s="44"/>
      <c r="E22" s="44"/>
      <c r="F22" s="44"/>
      <c r="G22" s="44"/>
      <c r="H22" s="5">
        <f>AVERAGE(H12:H21)</f>
        <v>2700.239583333333</v>
      </c>
      <c r="I22" s="5">
        <f aca="true" t="shared" si="11" ref="I22:N22">AVERAGE(I12:I21)</f>
        <v>1459.6197916666665</v>
      </c>
      <c r="J22" s="5">
        <f t="shared" si="11"/>
        <v>580.5629166666666</v>
      </c>
      <c r="K22" s="5">
        <f t="shared" si="11"/>
        <v>287.5439583333333</v>
      </c>
      <c r="L22" s="5">
        <f t="shared" si="11"/>
        <v>141.03447916666667</v>
      </c>
      <c r="M22" s="5">
        <f t="shared" si="11"/>
        <v>53.128791666666665</v>
      </c>
      <c r="N22" s="5">
        <f t="shared" si="11"/>
        <v>26.564395833333332</v>
      </c>
    </row>
    <row r="23" spans="6:14" ht="12.75">
      <c r="F23" s="10"/>
      <c r="H23" s="5"/>
      <c r="I23" s="5"/>
      <c r="J23" s="5"/>
      <c r="K23" s="5"/>
      <c r="L23" s="5"/>
      <c r="M23" s="5"/>
      <c r="N23" s="5"/>
    </row>
    <row r="24" spans="1:14" s="19" customFormat="1" ht="12.75">
      <c r="A24" s="40" t="s">
        <v>51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s="19" customFormat="1" ht="42.75" customHeight="1">
      <c r="A25" s="16" t="s">
        <v>15</v>
      </c>
      <c r="B25" s="16" t="s">
        <v>16</v>
      </c>
      <c r="C25" s="15" t="s">
        <v>17</v>
      </c>
      <c r="D25" s="20">
        <v>0.055</v>
      </c>
      <c r="E25" s="21">
        <v>0.27</v>
      </c>
      <c r="F25" s="22">
        <f>D25*0.73</f>
        <v>0.04015</v>
      </c>
      <c r="G25" s="23" t="s">
        <v>52</v>
      </c>
      <c r="H25" s="14">
        <f>(30000*$D$25+20000*3.9%+50000*1.25%)*0.73*7/24+(50000*$D$12+50000*1.25%)*0.73*17/24</f>
        <v>2046.5854166666668</v>
      </c>
      <c r="I25" s="14">
        <f>(30000*$D$25+20000*3.9%)*0.73*7/24+(50000*D12)*0.73*17/24</f>
        <v>1590.3354166666668</v>
      </c>
      <c r="J25" s="14">
        <f>J$7*$F$25*7/24+17/24*J$7*$F$12</f>
        <v>663.3875</v>
      </c>
      <c r="K25" s="14">
        <f>K$7*$F$25*7/24+17/24*K$7*$F$12</f>
        <v>331.69375</v>
      </c>
      <c r="L25" s="14">
        <f>L$7*$F$25*7/24+17/24*L$7*$F$12</f>
        <v>165.846875</v>
      </c>
      <c r="M25" s="14">
        <f>M$7*$F$25*7/24+17/24*M$7*$F$12</f>
        <v>66.33875</v>
      </c>
      <c r="N25" s="14">
        <f>N$7*$F$25*7/24+17/24*N$7*$F$12</f>
        <v>33.169375</v>
      </c>
    </row>
    <row r="26" spans="1:14" s="19" customFormat="1" ht="52.5" customHeight="1">
      <c r="A26" s="23" t="s">
        <v>35</v>
      </c>
      <c r="B26" s="16" t="s">
        <v>36</v>
      </c>
      <c r="C26" s="15" t="s">
        <v>37</v>
      </c>
      <c r="D26" s="21">
        <v>0.05</v>
      </c>
      <c r="E26" s="21">
        <v>0.27</v>
      </c>
      <c r="F26" s="22">
        <f>5%*0.73</f>
        <v>0.0365</v>
      </c>
      <c r="G26" s="23" t="s">
        <v>53</v>
      </c>
      <c r="H26" s="14">
        <f>((50000*5%+50000*4%)*7/24+(100000*4%)*17/24)*0.73</f>
        <v>3026.4583333333335</v>
      </c>
      <c r="I26" s="14">
        <f aca="true" t="shared" si="12" ref="I26:N26">((I$7*5%)*7/24+(I$7*4%)*17/24)*0.73</f>
        <v>1566.4583333333335</v>
      </c>
      <c r="J26" s="14">
        <f t="shared" si="12"/>
        <v>626.5833333333333</v>
      </c>
      <c r="K26" s="14">
        <f t="shared" si="12"/>
        <v>313.29166666666663</v>
      </c>
      <c r="L26" s="14">
        <f t="shared" si="12"/>
        <v>156.64583333333331</v>
      </c>
      <c r="M26" s="14">
        <f t="shared" si="12"/>
        <v>62.65833333333333</v>
      </c>
      <c r="N26" s="14">
        <f t="shared" si="12"/>
        <v>31.329166666666666</v>
      </c>
    </row>
    <row r="27" spans="1:14" ht="12.75" customHeight="1">
      <c r="A27" s="4" t="s">
        <v>23</v>
      </c>
      <c r="B27" s="4" t="s">
        <v>24</v>
      </c>
      <c r="C27" s="12" t="s">
        <v>25</v>
      </c>
      <c r="D27" s="9">
        <v>0.0475</v>
      </c>
      <c r="E27" s="13">
        <v>0.27</v>
      </c>
      <c r="F27" s="9">
        <f>4.75%*0.73</f>
        <v>0.034675</v>
      </c>
      <c r="G27" s="11" t="s">
        <v>54</v>
      </c>
      <c r="H27" s="14">
        <f aca="true" t="shared" si="13" ref="H27:N27">$F$27*H7</f>
        <v>3467.4999999999995</v>
      </c>
      <c r="I27" s="5">
        <f t="shared" si="13"/>
        <v>1733.7499999999998</v>
      </c>
      <c r="J27" s="5">
        <f t="shared" si="13"/>
        <v>693.5</v>
      </c>
      <c r="K27" s="5">
        <f t="shared" si="13"/>
        <v>346.75</v>
      </c>
      <c r="L27" s="5">
        <f t="shared" si="13"/>
        <v>173.375</v>
      </c>
      <c r="M27" s="5">
        <f t="shared" si="13"/>
        <v>69.35</v>
      </c>
      <c r="N27" s="5">
        <f t="shared" si="13"/>
        <v>34.675</v>
      </c>
    </row>
    <row r="28" spans="1:14" ht="31.5" customHeight="1">
      <c r="A28" s="4" t="s">
        <v>42</v>
      </c>
      <c r="B28" s="4" t="s">
        <v>43</v>
      </c>
      <c r="C28" s="12" t="s">
        <v>44</v>
      </c>
      <c r="D28" s="7">
        <v>0.04875</v>
      </c>
      <c r="E28" s="13">
        <v>0.27</v>
      </c>
      <c r="F28" s="9">
        <f>D28*0.73</f>
        <v>0.0355875</v>
      </c>
      <c r="G28" s="23" t="s">
        <v>55</v>
      </c>
      <c r="H28" s="14">
        <f aca="true" t="shared" si="14" ref="H28:N28">$F$28*H$7*1/2+$F$20*H$7*1/2</f>
        <v>3056.875</v>
      </c>
      <c r="I28" s="14">
        <f t="shared" si="14"/>
        <v>1528.4375</v>
      </c>
      <c r="J28" s="14">
        <f t="shared" si="14"/>
        <v>611.375</v>
      </c>
      <c r="K28" s="14">
        <f t="shared" si="14"/>
        <v>305.6875</v>
      </c>
      <c r="L28" s="14">
        <f t="shared" si="14"/>
        <v>152.84375</v>
      </c>
      <c r="M28" s="14">
        <f t="shared" si="14"/>
        <v>61.1375</v>
      </c>
      <c r="N28" s="14">
        <f t="shared" si="14"/>
        <v>30.56875</v>
      </c>
    </row>
    <row r="29" spans="1:14" s="19" customFormat="1" ht="38.25">
      <c r="A29" s="16" t="s">
        <v>31</v>
      </c>
      <c r="B29" s="16" t="s">
        <v>32</v>
      </c>
      <c r="C29" s="15" t="s">
        <v>33</v>
      </c>
      <c r="D29" s="21">
        <v>0.06</v>
      </c>
      <c r="E29" s="21">
        <v>0.27</v>
      </c>
      <c r="F29" s="22">
        <f>6%*0.73</f>
        <v>0.0438</v>
      </c>
      <c r="G29" s="23" t="s">
        <v>56</v>
      </c>
      <c r="H29" s="14">
        <f>((30000*6%+70000*4%)*1/2+(100000*4%)*1/2)*0.73</f>
        <v>3139</v>
      </c>
      <c r="I29" s="14">
        <f>((30000*6%+20000*4%)*1/2+(50000*4%)*1/2)*0.73</f>
        <v>1679</v>
      </c>
      <c r="J29" s="14">
        <f>((J$7*6%)*1/2+(J$7*4%)*1/2)*0.73</f>
        <v>730</v>
      </c>
      <c r="K29" s="14">
        <f>((K$7*6%)*1/2+(K$7*4%)*1/2)*0.73</f>
        <v>365</v>
      </c>
      <c r="L29" s="14">
        <f>((L$7*6%)*1/2+(L$7*4%)*1/2)*0.73</f>
        <v>182.5</v>
      </c>
      <c r="M29" s="14">
        <f>((M$7*6%)*1/2+(M$7*4%)*1/2)*0.73</f>
        <v>73</v>
      </c>
      <c r="N29" s="14">
        <f>((N$7*6%)*1/2+(N$7*4%)*1/2)*0.73</f>
        <v>36.5</v>
      </c>
    </row>
    <row r="30" spans="1:14" s="19" customFormat="1" ht="51">
      <c r="A30" s="16" t="s">
        <v>57</v>
      </c>
      <c r="B30" s="16" t="s">
        <v>58</v>
      </c>
      <c r="C30" s="15" t="s">
        <v>59</v>
      </c>
      <c r="D30" s="21">
        <v>0.05</v>
      </c>
      <c r="E30" s="13">
        <v>0.27</v>
      </c>
      <c r="F30" s="9">
        <f>D30*0.73</f>
        <v>0.0365</v>
      </c>
      <c r="G30" s="23" t="s">
        <v>60</v>
      </c>
      <c r="H30" s="14">
        <f>((50000*5%+50000*2.51%)*7/24+(100000*2.51%)*17/24)*0.73</f>
        <v>2097.3812499999995</v>
      </c>
      <c r="I30" s="14">
        <f aca="true" t="shared" si="15" ref="I30:N30">((I$7*5%)*7/24+(I$7*2.51%)*17/24)*0.73</f>
        <v>1181.2312499999998</v>
      </c>
      <c r="J30" s="14">
        <f t="shared" si="15"/>
        <v>472.4925</v>
      </c>
      <c r="K30" s="14">
        <f t="shared" si="15"/>
        <v>236.24625</v>
      </c>
      <c r="L30" s="14">
        <f t="shared" si="15"/>
        <v>118.123125</v>
      </c>
      <c r="M30" s="14">
        <f t="shared" si="15"/>
        <v>47.249249999999996</v>
      </c>
      <c r="N30" s="14">
        <f t="shared" si="15"/>
        <v>23.624624999999998</v>
      </c>
    </row>
    <row r="31" spans="1:14" ht="12.75">
      <c r="A31" s="44" t="s">
        <v>50</v>
      </c>
      <c r="B31" s="44"/>
      <c r="C31" s="44"/>
      <c r="D31" s="44"/>
      <c r="E31" s="44"/>
      <c r="F31" s="44"/>
      <c r="G31" s="44"/>
      <c r="H31" s="14">
        <f>AVERAGE(H25:H30)</f>
        <v>2805.633333333333</v>
      </c>
      <c r="I31" s="14">
        <f aca="true" t="shared" si="16" ref="I31:N31">AVERAGE(I25:I30)</f>
        <v>1546.5354166666666</v>
      </c>
      <c r="J31" s="14">
        <f t="shared" si="16"/>
        <v>632.8897222222222</v>
      </c>
      <c r="K31" s="14">
        <f t="shared" si="16"/>
        <v>316.4448611111111</v>
      </c>
      <c r="L31" s="14">
        <f t="shared" si="16"/>
        <v>158.22243055555555</v>
      </c>
      <c r="M31" s="14">
        <f t="shared" si="16"/>
        <v>63.28897222222222</v>
      </c>
      <c r="N31" s="14">
        <f t="shared" si="16"/>
        <v>31.64448611111111</v>
      </c>
    </row>
    <row r="32" spans="2:14" ht="12.75">
      <c r="B32" s="19"/>
      <c r="C32" s="24"/>
      <c r="D32" s="18"/>
      <c r="E32" s="18"/>
      <c r="F32" s="25"/>
      <c r="G32" s="26"/>
      <c r="H32" s="14"/>
      <c r="I32" s="14"/>
      <c r="J32" s="14"/>
      <c r="K32" s="14"/>
      <c r="L32" s="14"/>
      <c r="M32" s="14"/>
      <c r="N32" s="14"/>
    </row>
    <row r="33" spans="1:14" ht="12.75">
      <c r="A33" s="40" t="s">
        <v>61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s="19" customFormat="1" ht="51">
      <c r="A34" s="45" t="s">
        <v>19</v>
      </c>
      <c r="B34" s="16" t="s">
        <v>62</v>
      </c>
      <c r="C34" s="42" t="s">
        <v>21</v>
      </c>
      <c r="D34" s="22">
        <f>F34/0.875</f>
        <v>0.037142857142857144</v>
      </c>
      <c r="E34" s="20">
        <v>0.125</v>
      </c>
      <c r="F34" s="22">
        <v>0.0325</v>
      </c>
      <c r="G34" s="23" t="s">
        <v>63</v>
      </c>
      <c r="H34" s="14">
        <v>3276</v>
      </c>
      <c r="I34" s="14">
        <v>1638</v>
      </c>
      <c r="J34" s="14">
        <v>655</v>
      </c>
      <c r="K34" s="14">
        <v>328</v>
      </c>
      <c r="L34" s="14">
        <v>164</v>
      </c>
      <c r="M34" s="14">
        <v>66</v>
      </c>
      <c r="N34" s="14">
        <v>33</v>
      </c>
    </row>
    <row r="35" spans="1:14" s="19" customFormat="1" ht="51">
      <c r="A35" s="45"/>
      <c r="B35" s="16" t="s">
        <v>64</v>
      </c>
      <c r="C35" s="42"/>
      <c r="D35" s="22">
        <f>F35/0.875</f>
        <v>0.04857142857142858</v>
      </c>
      <c r="E35" s="20">
        <v>0.125</v>
      </c>
      <c r="F35" s="22">
        <v>0.0425</v>
      </c>
      <c r="G35" s="23" t="s">
        <v>65</v>
      </c>
      <c r="H35" s="14">
        <v>4295</v>
      </c>
      <c r="I35" s="14">
        <v>2148</v>
      </c>
      <c r="J35" s="14">
        <v>859</v>
      </c>
      <c r="K35" s="14">
        <v>430</v>
      </c>
      <c r="L35" s="14">
        <v>215</v>
      </c>
      <c r="M35" s="14">
        <v>86</v>
      </c>
      <c r="N35" s="14">
        <v>43</v>
      </c>
    </row>
    <row r="36" spans="1:14" ht="63.75">
      <c r="A36" s="16" t="s">
        <v>23</v>
      </c>
      <c r="B36" s="16" t="s">
        <v>66</v>
      </c>
      <c r="C36" s="12" t="s">
        <v>25</v>
      </c>
      <c r="D36" s="20">
        <v>0.045</v>
      </c>
      <c r="E36" s="21">
        <v>0.27</v>
      </c>
      <c r="F36" s="22">
        <f>D36*(1-E36)</f>
        <v>0.03285</v>
      </c>
      <c r="G36" s="23" t="s">
        <v>67</v>
      </c>
      <c r="H36" s="14">
        <f>(4.7%*H7)*0.73</f>
        <v>3431</v>
      </c>
      <c r="I36" s="14">
        <f>(4.7%*I7)*0.73</f>
        <v>1715.5</v>
      </c>
      <c r="J36" s="14">
        <f>(4.4%*J7)*0.73</f>
        <v>642.4000000000001</v>
      </c>
      <c r="K36" s="14">
        <f>(4.4%*K7)*0.73</f>
        <v>321.20000000000005</v>
      </c>
      <c r="L36" s="14">
        <f>(3%*L7)*0.73</f>
        <v>109.5</v>
      </c>
      <c r="M36" s="14">
        <f>(3%*M7)*0.73</f>
        <v>43.8</v>
      </c>
      <c r="N36" s="14">
        <f>(3%*N7)*0.73</f>
        <v>21.9</v>
      </c>
    </row>
    <row r="37" spans="1:14" ht="38.25">
      <c r="A37" s="23" t="s">
        <v>35</v>
      </c>
      <c r="B37" s="27" t="s">
        <v>68</v>
      </c>
      <c r="C37" s="15" t="s">
        <v>37</v>
      </c>
      <c r="D37" s="20">
        <v>0.045</v>
      </c>
      <c r="E37" s="21">
        <v>0.27</v>
      </c>
      <c r="F37" s="22">
        <f>4.5%*0.73</f>
        <v>0.03285</v>
      </c>
      <c r="G37" s="23" t="s">
        <v>69</v>
      </c>
      <c r="H37" s="14">
        <v>3285</v>
      </c>
      <c r="I37" s="14">
        <f>$F$37*I7</f>
        <v>1642.4999999999998</v>
      </c>
      <c r="J37" s="14">
        <v>746.4914414938394</v>
      </c>
      <c r="K37" s="14">
        <f>$F$37*K7</f>
        <v>328.5</v>
      </c>
      <c r="L37" s="14">
        <f>$F$37*L7</f>
        <v>164.25</v>
      </c>
      <c r="M37" s="14">
        <f>$F$37*M7</f>
        <v>65.69999999999999</v>
      </c>
      <c r="N37" s="14">
        <f>$F$37*N7</f>
        <v>32.849999999999994</v>
      </c>
    </row>
    <row r="38" spans="1:14" ht="42" customHeight="1">
      <c r="A38" s="4" t="s">
        <v>39</v>
      </c>
      <c r="B38" s="6" t="s">
        <v>70</v>
      </c>
      <c r="C38" s="17" t="s">
        <v>41</v>
      </c>
      <c r="D38" s="8">
        <v>0.047</v>
      </c>
      <c r="E38" s="13">
        <v>0.27</v>
      </c>
      <c r="F38" s="9">
        <f>D38*0.73</f>
        <v>0.03431</v>
      </c>
      <c r="G38" s="23" t="s">
        <v>71</v>
      </c>
      <c r="H38" s="28">
        <f aca="true" t="shared" si="17" ref="H38:N38">(1/(1-$F$38)-1)*H$7</f>
        <v>3552.899998964465</v>
      </c>
      <c r="I38" s="28">
        <f t="shared" si="17"/>
        <v>1776.4499994822324</v>
      </c>
      <c r="J38" s="28">
        <f t="shared" si="17"/>
        <v>710.579999792893</v>
      </c>
      <c r="K38" s="28">
        <f t="shared" si="17"/>
        <v>355.2899998964465</v>
      </c>
      <c r="L38" s="28">
        <f t="shared" si="17"/>
        <v>177.64499994822324</v>
      </c>
      <c r="M38" s="28">
        <f t="shared" si="17"/>
        <v>71.05799997928929</v>
      </c>
      <c r="N38" s="28">
        <f t="shared" si="17"/>
        <v>35.528999989644646</v>
      </c>
    </row>
    <row r="39" spans="1:14" ht="12.75">
      <c r="A39" s="44" t="s">
        <v>50</v>
      </c>
      <c r="B39" s="44"/>
      <c r="C39" s="44"/>
      <c r="D39" s="44"/>
      <c r="E39" s="44"/>
      <c r="F39" s="44"/>
      <c r="G39" s="44"/>
      <c r="H39" s="14">
        <f>AVERAGE(H34:H38)</f>
        <v>3567.979999792893</v>
      </c>
      <c r="I39" s="14">
        <f aca="true" t="shared" si="18" ref="I39:N39">AVERAGE(I34:I38)</f>
        <v>1784.0899998964464</v>
      </c>
      <c r="J39" s="14">
        <f t="shared" si="18"/>
        <v>722.6942882573464</v>
      </c>
      <c r="K39" s="14">
        <f t="shared" si="18"/>
        <v>352.5979999792893</v>
      </c>
      <c r="L39" s="14">
        <f t="shared" si="18"/>
        <v>166.07899998964464</v>
      </c>
      <c r="M39" s="14">
        <f t="shared" si="18"/>
        <v>66.51159999585786</v>
      </c>
      <c r="N39" s="14">
        <f t="shared" si="18"/>
        <v>33.25579999792893</v>
      </c>
    </row>
    <row r="40" spans="2:14" ht="12.75">
      <c r="B40" s="16"/>
      <c r="C40" s="29"/>
      <c r="D40" s="21"/>
      <c r="E40" s="20"/>
      <c r="F40" s="22"/>
      <c r="G40" s="30"/>
      <c r="H40" s="14"/>
      <c r="I40" s="14"/>
      <c r="J40" s="14"/>
      <c r="K40" s="14"/>
      <c r="L40" s="14"/>
      <c r="M40" s="14"/>
      <c r="N40" s="14"/>
    </row>
    <row r="41" spans="1:14" s="19" customFormat="1" ht="12.75">
      <c r="A41" s="40" t="s">
        <v>72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s="19" customFormat="1" ht="51">
      <c r="A42" s="4" t="s">
        <v>73</v>
      </c>
      <c r="B42" s="16" t="s">
        <v>74</v>
      </c>
      <c r="C42" s="15" t="s">
        <v>101</v>
      </c>
      <c r="D42" s="21">
        <v>0.04</v>
      </c>
      <c r="E42" s="20">
        <v>0.125</v>
      </c>
      <c r="F42" s="22">
        <v>0.035</v>
      </c>
      <c r="G42" s="23" t="s">
        <v>75</v>
      </c>
      <c r="H42" s="31">
        <v>3503</v>
      </c>
      <c r="I42" s="31">
        <v>1734</v>
      </c>
      <c r="J42" s="31">
        <v>673</v>
      </c>
      <c r="K42" s="31">
        <v>319</v>
      </c>
      <c r="L42" s="31">
        <v>142</v>
      </c>
      <c r="M42" s="31" t="s">
        <v>76</v>
      </c>
      <c r="N42" s="31" t="s">
        <v>76</v>
      </c>
    </row>
    <row r="43" spans="1:14" ht="38.25">
      <c r="A43" s="4" t="s">
        <v>15</v>
      </c>
      <c r="B43" s="16" t="s">
        <v>77</v>
      </c>
      <c r="C43" s="15" t="s">
        <v>17</v>
      </c>
      <c r="D43" s="21">
        <f>F43/0.875</f>
        <v>0.04</v>
      </c>
      <c r="E43" s="20">
        <v>0.125</v>
      </c>
      <c r="F43" s="22">
        <v>0.035</v>
      </c>
      <c r="G43" s="23" t="s">
        <v>78</v>
      </c>
      <c r="H43" s="31">
        <v>3531</v>
      </c>
      <c r="I43" s="31">
        <v>1765</v>
      </c>
      <c r="J43" s="31">
        <v>706</v>
      </c>
      <c r="K43" s="31">
        <v>353</v>
      </c>
      <c r="L43" s="31">
        <v>177</v>
      </c>
      <c r="M43" s="31">
        <v>71</v>
      </c>
      <c r="N43" s="31">
        <v>35</v>
      </c>
    </row>
    <row r="44" spans="1:14" s="19" customFormat="1" ht="25.5">
      <c r="A44" s="16" t="s">
        <v>79</v>
      </c>
      <c r="B44" s="16" t="s">
        <v>80</v>
      </c>
      <c r="C44" s="12" t="s">
        <v>29</v>
      </c>
      <c r="D44" s="20">
        <v>0.041</v>
      </c>
      <c r="E44" s="20">
        <v>0.125</v>
      </c>
      <c r="F44" s="22">
        <f>D44*0.875</f>
        <v>0.035875000000000004</v>
      </c>
      <c r="G44" s="23" t="s">
        <v>81</v>
      </c>
      <c r="H44" s="31">
        <v>3622</v>
      </c>
      <c r="I44" s="31">
        <v>1811</v>
      </c>
      <c r="J44" s="31">
        <v>724</v>
      </c>
      <c r="K44" s="31">
        <v>362</v>
      </c>
      <c r="L44" s="31">
        <v>181</v>
      </c>
      <c r="M44" s="31">
        <v>72</v>
      </c>
      <c r="N44" s="31">
        <v>36</v>
      </c>
    </row>
    <row r="45" spans="1:14" s="19" customFormat="1" ht="102">
      <c r="A45" s="4" t="s">
        <v>57</v>
      </c>
      <c r="B45" s="16" t="s">
        <v>82</v>
      </c>
      <c r="C45" s="15" t="s">
        <v>59</v>
      </c>
      <c r="D45" s="21">
        <f>F45/0.875</f>
        <v>0.05714285714285715</v>
      </c>
      <c r="E45" s="20">
        <v>0.125</v>
      </c>
      <c r="F45" s="22">
        <v>0.05</v>
      </c>
      <c r="G45" s="23" t="s">
        <v>83</v>
      </c>
      <c r="H45" s="31">
        <v>5079</v>
      </c>
      <c r="I45" s="31">
        <v>2539</v>
      </c>
      <c r="J45" s="31">
        <v>913</v>
      </c>
      <c r="K45" s="31">
        <v>456</v>
      </c>
      <c r="L45" s="31">
        <v>456</v>
      </c>
      <c r="M45" s="31" t="s">
        <v>76</v>
      </c>
      <c r="N45" s="31" t="s">
        <v>76</v>
      </c>
    </row>
    <row r="46" spans="1:14" ht="12.75">
      <c r="A46" s="44" t="s">
        <v>50</v>
      </c>
      <c r="B46" s="44"/>
      <c r="C46" s="44"/>
      <c r="D46" s="44"/>
      <c r="E46" s="44"/>
      <c r="F46" s="44"/>
      <c r="G46" s="44"/>
      <c r="H46" s="31">
        <f>AVERAGE(H42:H45)</f>
        <v>3933.75</v>
      </c>
      <c r="I46" s="31">
        <f aca="true" t="shared" si="19" ref="I46:N46">AVERAGE(I42:I45)</f>
        <v>1962.25</v>
      </c>
      <c r="J46" s="31">
        <f t="shared" si="19"/>
        <v>754</v>
      </c>
      <c r="K46" s="31">
        <f t="shared" si="19"/>
        <v>372.5</v>
      </c>
      <c r="L46" s="31">
        <f t="shared" si="19"/>
        <v>239</v>
      </c>
      <c r="M46" s="31">
        <f t="shared" si="19"/>
        <v>71.5</v>
      </c>
      <c r="N46" s="31">
        <f t="shared" si="19"/>
        <v>35.5</v>
      </c>
    </row>
    <row r="47" spans="6:14" ht="12.75">
      <c r="F47" s="10"/>
      <c r="H47" s="5"/>
      <c r="I47" s="5"/>
      <c r="J47" s="5"/>
      <c r="K47" s="5"/>
      <c r="L47" s="5"/>
      <c r="M47" s="5"/>
      <c r="N47" s="5"/>
    </row>
    <row r="48" spans="1:14" s="19" customFormat="1" ht="12.75">
      <c r="A48" s="40" t="s">
        <v>84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63.75">
      <c r="A49" s="4" t="s">
        <v>85</v>
      </c>
      <c r="B49" s="4" t="s">
        <v>86</v>
      </c>
      <c r="C49" s="12" t="s">
        <v>21</v>
      </c>
      <c r="D49" s="9">
        <v>0.0425</v>
      </c>
      <c r="E49" s="8">
        <v>0.125</v>
      </c>
      <c r="F49" s="9">
        <f>D49*0.875</f>
        <v>0.037187500000000005</v>
      </c>
      <c r="G49" s="23" t="s">
        <v>87</v>
      </c>
      <c r="H49" s="31">
        <f aca="true" t="shared" si="20" ref="H49:N49">H$7*$F$49</f>
        <v>3718.7500000000005</v>
      </c>
      <c r="I49" s="31">
        <f t="shared" si="20"/>
        <v>1859.3750000000002</v>
      </c>
      <c r="J49" s="31">
        <f t="shared" si="20"/>
        <v>743.7500000000001</v>
      </c>
      <c r="K49" s="31">
        <f t="shared" si="20"/>
        <v>371.87500000000006</v>
      </c>
      <c r="L49" s="31">
        <f t="shared" si="20"/>
        <v>185.93750000000003</v>
      </c>
      <c r="M49" s="31">
        <f t="shared" si="20"/>
        <v>74.37500000000001</v>
      </c>
      <c r="N49" s="31">
        <f t="shared" si="20"/>
        <v>37.18750000000001</v>
      </c>
    </row>
    <row r="50" spans="1:14" ht="27" customHeight="1">
      <c r="A50" s="4" t="s">
        <v>88</v>
      </c>
      <c r="B50" s="39" t="s">
        <v>89</v>
      </c>
      <c r="C50" s="12" t="s">
        <v>99</v>
      </c>
      <c r="D50" s="47">
        <v>0.043</v>
      </c>
      <c r="E50" s="48">
        <v>0.125</v>
      </c>
      <c r="F50" s="47">
        <v>0.036313</v>
      </c>
      <c r="G50" s="49" t="s">
        <v>90</v>
      </c>
      <c r="H50" s="46">
        <f aca="true" t="shared" si="21" ref="H50:N50">H$7*$F$50</f>
        <v>3631.2999999999997</v>
      </c>
      <c r="I50" s="46">
        <f t="shared" si="21"/>
        <v>1815.6499999999999</v>
      </c>
      <c r="J50" s="46">
        <f t="shared" si="21"/>
        <v>726.26</v>
      </c>
      <c r="K50" s="46">
        <f t="shared" si="21"/>
        <v>363.13</v>
      </c>
      <c r="L50" s="46">
        <f t="shared" si="21"/>
        <v>181.565</v>
      </c>
      <c r="M50" s="46">
        <f t="shared" si="21"/>
        <v>72.62599999999999</v>
      </c>
      <c r="N50" s="46">
        <f t="shared" si="21"/>
        <v>36.312999999999995</v>
      </c>
    </row>
    <row r="51" spans="1:14" ht="27" customHeight="1">
      <c r="A51" s="4" t="s">
        <v>91</v>
      </c>
      <c r="B51" s="39"/>
      <c r="C51" s="12" t="s">
        <v>100</v>
      </c>
      <c r="D51" s="47"/>
      <c r="E51" s="48"/>
      <c r="F51" s="47"/>
      <c r="G51" s="49"/>
      <c r="H51" s="46"/>
      <c r="I51" s="46"/>
      <c r="J51" s="46"/>
      <c r="K51" s="46"/>
      <c r="L51" s="46"/>
      <c r="M51" s="46"/>
      <c r="N51" s="46"/>
    </row>
    <row r="52" spans="1:14" ht="38.25">
      <c r="A52" s="41" t="s">
        <v>92</v>
      </c>
      <c r="B52" s="23" t="s">
        <v>93</v>
      </c>
      <c r="C52" s="50" t="s">
        <v>94</v>
      </c>
      <c r="D52" s="9">
        <v>0.043</v>
      </c>
      <c r="E52" s="8">
        <v>0.125</v>
      </c>
      <c r="F52" s="9">
        <v>0.0376</v>
      </c>
      <c r="G52" s="23" t="s">
        <v>95</v>
      </c>
      <c r="H52" s="31">
        <f>$F52*H$7</f>
        <v>3760</v>
      </c>
      <c r="I52" s="31">
        <f aca="true" t="shared" si="22" ref="I52:N53">$F52*I$7</f>
        <v>1880</v>
      </c>
      <c r="J52" s="31">
        <f t="shared" si="22"/>
        <v>752</v>
      </c>
      <c r="K52" s="31">
        <f t="shared" si="22"/>
        <v>376</v>
      </c>
      <c r="L52" s="31">
        <f t="shared" si="22"/>
        <v>188</v>
      </c>
      <c r="M52" s="31">
        <f t="shared" si="22"/>
        <v>75.2</v>
      </c>
      <c r="N52" s="31">
        <f t="shared" si="22"/>
        <v>37.6</v>
      </c>
    </row>
    <row r="53" spans="1:14" ht="25.5">
      <c r="A53" s="41"/>
      <c r="B53" s="23" t="s">
        <v>96</v>
      </c>
      <c r="C53" s="50"/>
      <c r="D53" s="9">
        <v>0.0513</v>
      </c>
      <c r="E53" s="8">
        <v>0.125</v>
      </c>
      <c r="F53" s="9">
        <v>0.0449</v>
      </c>
      <c r="G53" s="23" t="s">
        <v>97</v>
      </c>
      <c r="H53" s="31">
        <f>$F53*H$7</f>
        <v>4490</v>
      </c>
      <c r="I53" s="31">
        <f t="shared" si="22"/>
        <v>2245</v>
      </c>
      <c r="J53" s="31">
        <f t="shared" si="22"/>
        <v>898</v>
      </c>
      <c r="K53" s="31">
        <f t="shared" si="22"/>
        <v>449</v>
      </c>
      <c r="L53" s="31">
        <f t="shared" si="22"/>
        <v>224.5</v>
      </c>
      <c r="M53" s="31">
        <f t="shared" si="22"/>
        <v>89.80000000000001</v>
      </c>
      <c r="N53" s="31">
        <f t="shared" si="22"/>
        <v>44.900000000000006</v>
      </c>
    </row>
    <row r="54" spans="1:14" ht="12.75">
      <c r="A54" s="44" t="s">
        <v>50</v>
      </c>
      <c r="B54" s="44"/>
      <c r="C54" s="44"/>
      <c r="D54" s="44"/>
      <c r="E54" s="44"/>
      <c r="F54" s="44"/>
      <c r="G54" s="44"/>
      <c r="H54" s="32">
        <f>AVERAGE(H49:H53)</f>
        <v>3900.0125</v>
      </c>
      <c r="I54" s="32">
        <f aca="true" t="shared" si="23" ref="I54:N54">AVERAGE(I49:I53)</f>
        <v>1950.00625</v>
      </c>
      <c r="J54" s="32">
        <f t="shared" si="23"/>
        <v>780.0025</v>
      </c>
      <c r="K54" s="32">
        <f t="shared" si="23"/>
        <v>390.00125</v>
      </c>
      <c r="L54" s="32">
        <f t="shared" si="23"/>
        <v>195.000625</v>
      </c>
      <c r="M54" s="32">
        <f t="shared" si="23"/>
        <v>78.00025000000001</v>
      </c>
      <c r="N54" s="32">
        <f t="shared" si="23"/>
        <v>39.000125000000004</v>
      </c>
    </row>
    <row r="55" spans="1:14" ht="12.75">
      <c r="A55" s="18"/>
      <c r="B55" s="18"/>
      <c r="C55" s="18"/>
      <c r="D55" s="18"/>
      <c r="E55" s="18"/>
      <c r="F55" s="18"/>
      <c r="G55" s="18"/>
      <c r="H55" s="32"/>
      <c r="I55" s="32"/>
      <c r="J55" s="32"/>
      <c r="K55" s="32"/>
      <c r="L55" s="32"/>
      <c r="M55" s="32"/>
      <c r="N55" s="32"/>
    </row>
    <row r="56" spans="1:14" ht="12.75">
      <c r="A56" s="18"/>
      <c r="B56" s="18"/>
      <c r="C56" s="18"/>
      <c r="D56" s="18"/>
      <c r="E56" s="18"/>
      <c r="F56" s="18"/>
      <c r="G56" s="18"/>
      <c r="H56" s="32"/>
      <c r="I56" s="32"/>
      <c r="J56" s="32"/>
      <c r="K56" s="32"/>
      <c r="L56" s="32"/>
      <c r="M56" s="32"/>
      <c r="N56" s="32"/>
    </row>
    <row r="57" spans="1:14" ht="12.75">
      <c r="A57" s="18"/>
      <c r="B57" s="18"/>
      <c r="C57" s="18"/>
      <c r="D57" s="18"/>
      <c r="E57" s="18"/>
      <c r="F57" s="18"/>
      <c r="G57" s="18"/>
      <c r="H57" s="32"/>
      <c r="I57" s="32"/>
      <c r="J57" s="32"/>
      <c r="K57" s="32"/>
      <c r="L57" s="32"/>
      <c r="M57" s="32"/>
      <c r="N57" s="32"/>
    </row>
  </sheetData>
  <mergeCells count="31">
    <mergeCell ref="A52:A53"/>
    <mergeCell ref="C52:C53"/>
    <mergeCell ref="A54:G54"/>
    <mergeCell ref="K50:K51"/>
    <mergeCell ref="H50:H51"/>
    <mergeCell ref="I50:I51"/>
    <mergeCell ref="J50:J51"/>
    <mergeCell ref="L50:L51"/>
    <mergeCell ref="M50:M51"/>
    <mergeCell ref="N50:N51"/>
    <mergeCell ref="A46:G46"/>
    <mergeCell ref="A48:N48"/>
    <mergeCell ref="B50:B51"/>
    <mergeCell ref="D50:D51"/>
    <mergeCell ref="E50:E51"/>
    <mergeCell ref="F50:F51"/>
    <mergeCell ref="G50:G51"/>
    <mergeCell ref="A34:A35"/>
    <mergeCell ref="C34:C35"/>
    <mergeCell ref="A39:G39"/>
    <mergeCell ref="A41:N41"/>
    <mergeCell ref="A22:G22"/>
    <mergeCell ref="A24:N24"/>
    <mergeCell ref="A31:G31"/>
    <mergeCell ref="A33:N33"/>
    <mergeCell ref="H6:N6"/>
    <mergeCell ref="A11:N11"/>
    <mergeCell ref="A12:A13"/>
    <mergeCell ref="B12:B13"/>
    <mergeCell ref="C12:C13"/>
    <mergeCell ref="G12:G13"/>
  </mergeCells>
  <hyperlinks>
    <hyperlink ref="B12" r:id="rId1" display="Conto@me"/>
    <hyperlink ref="B25" r:id="rId2" display="Conto@me"/>
    <hyperlink ref="C12" r:id="rId3" display="www.webank.it"/>
    <hyperlink ref="C25" r:id="rId4" display="www.webank.it"/>
    <hyperlink ref="C26" r:id="rId5" display="www.bancasantander.it"/>
    <hyperlink ref="C18" r:id="rId6" display="www.bancasantander.it"/>
    <hyperlink ref="C37" r:id="rId7" display="www.bancasantander.it"/>
    <hyperlink ref="C52" r:id="rId8" display="www.abnamromarkets.it"/>
    <hyperlink ref="C49" r:id="rId9" display="www.iwbank.it"/>
    <hyperlink ref="C34" r:id="rId10" display="www.iwbank.it"/>
    <hyperlink ref="C14" r:id="rId11" display="www.iwbank.it"/>
    <hyperlink ref="C15" r:id="rId12" display="www.ingdirect.it"/>
    <hyperlink ref="C27" r:id="rId13" display="www.ingdirect.it"/>
    <hyperlink ref="C36" r:id="rId14" display="www.ingdirect.it"/>
    <hyperlink ref="C38" r:id="rId15" display="www.chebanca.it"/>
    <hyperlink ref="C45" r:id="rId16" display="www.barclays.it"/>
    <hyperlink ref="C30" r:id="rId17" display="www.barclays.it"/>
    <hyperlink ref="C29" r:id="rId18" display="www.websella.it"/>
    <hyperlink ref="C17" r:id="rId19" display="www.websella.it"/>
    <hyperlink ref="C16" r:id="rId20" display="www.fineco.it"/>
    <hyperlink ref="C44" r:id="rId21" display="www.fineco.it"/>
    <hyperlink ref="C43" r:id="rId22" display="www.webank.it"/>
    <hyperlink ref="C28" r:id="rId23" display="www.sparkasseitalia.it"/>
    <hyperlink ref="C19" r:id="rId24" display="www.chebanca.it"/>
    <hyperlink ref="C20" r:id="rId25" display="www.sparkasseitalia.it"/>
    <hyperlink ref="C21" r:id="rId26" display="www.rendimax.it"/>
    <hyperlink ref="C50" r:id="rId27" display="www.lyxoretf.it"/>
    <hyperlink ref="C42" r:id="rId28" display="www.unicreditbanca.it/it/privati/investimenti/liquidita/moneybox/?idc=4780"/>
    <hyperlink ref="C9" r:id="rId29" display="Ministero del Tesoro"/>
  </hyperlinks>
  <printOptions/>
  <pageMargins left="0.75" right="0.75" top="1" bottom="1" header="0.5" footer="0.5"/>
  <pageSetup horizontalDpi="600" verticalDpi="600" orientation="portrait" paperSize="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SoleProva2</dc:creator>
  <cp:keywords/>
  <dc:description/>
  <cp:lastModifiedBy>Sole</cp:lastModifiedBy>
  <dcterms:created xsi:type="dcterms:W3CDTF">2008-09-11T18:55:22Z</dcterms:created>
  <dcterms:modified xsi:type="dcterms:W3CDTF">2008-09-12T15:51:44Z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